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งบพัฒนาจังหวัด" sheetId="1" r:id="rId1"/>
    <sheet name="งบกลุ่มจังหวัดภาคเหนือบน 1" sheetId="5" r:id="rId2"/>
    <sheet name="งบแก้ไขปัญหาความเดือนร้อน" sheetId="3" r:id="rId3"/>
    <sheet name="งบรองนายกฯ" sheetId="4" r:id="rId4"/>
  </sheets>
  <externalReferences>
    <externalReference r:id="rId5"/>
  </externalReferences>
  <definedNames>
    <definedName name="_xlnm.Print_Titles" localSheetId="1">'งบกลุ่มจังหวัดภาคเหนือบน 1'!$3:$3</definedName>
    <definedName name="_xlnm.Print_Titles" localSheetId="2">งบแก้ไขปัญหาความเดือนร้อน!$5:$5</definedName>
    <definedName name="_xlnm.Print_Titles" localSheetId="0">งบพัฒนาจังหวัด!$4:$5</definedName>
    <definedName name="_xlnm.Print_Titles" localSheetId="3">งบรองนายกฯ!$5:$8</definedName>
  </definedNames>
  <calcPr calcId="144525"/>
</workbook>
</file>

<file path=xl/calcChain.xml><?xml version="1.0" encoding="utf-8"?>
<calcChain xmlns="http://schemas.openxmlformats.org/spreadsheetml/2006/main">
  <c r="C17" i="5" l="1"/>
  <c r="D24" i="4"/>
  <c r="C21" i="3" l="1"/>
  <c r="C20" i="3"/>
  <c r="C12" i="3"/>
  <c r="T179" i="1" l="1"/>
  <c r="M178" i="1"/>
  <c r="E178" i="1"/>
  <c r="K177" i="1"/>
  <c r="K178" i="1" s="1"/>
  <c r="M176" i="1"/>
  <c r="E176" i="1"/>
  <c r="M175" i="1"/>
  <c r="E175" i="1"/>
  <c r="K174" i="1"/>
  <c r="K175" i="1" s="1"/>
  <c r="E172" i="1"/>
  <c r="K171" i="1"/>
  <c r="L171" i="1" s="1"/>
  <c r="O170" i="1"/>
  <c r="M170" i="1" s="1"/>
  <c r="M172" i="1" s="1"/>
  <c r="K170" i="1"/>
  <c r="E168" i="1"/>
  <c r="E164" i="1" s="1"/>
  <c r="O167" i="1"/>
  <c r="M167" i="1" s="1"/>
  <c r="K167" i="1"/>
  <c r="N167" i="1" s="1"/>
  <c r="O166" i="1"/>
  <c r="M166" i="1" s="1"/>
  <c r="K166" i="1"/>
  <c r="E163" i="1"/>
  <c r="K162" i="1"/>
  <c r="L162" i="1" s="1"/>
  <c r="O161" i="1"/>
  <c r="M161" i="1" s="1"/>
  <c r="K161" i="1"/>
  <c r="O160" i="1"/>
  <c r="M160" i="1" s="1"/>
  <c r="K160" i="1"/>
  <c r="N160" i="1" s="1"/>
  <c r="O159" i="1"/>
  <c r="M159" i="1" s="1"/>
  <c r="K159" i="1"/>
  <c r="N159" i="1" s="1"/>
  <c r="O158" i="1"/>
  <c r="M158" i="1" s="1"/>
  <c r="K158" i="1"/>
  <c r="L158" i="1" s="1"/>
  <c r="O157" i="1"/>
  <c r="M157" i="1" s="1"/>
  <c r="K157" i="1"/>
  <c r="N157" i="1" s="1"/>
  <c r="O156" i="1"/>
  <c r="M156" i="1" s="1"/>
  <c r="K156" i="1"/>
  <c r="N156" i="1" s="1"/>
  <c r="O155" i="1"/>
  <c r="M155" i="1" s="1"/>
  <c r="K155" i="1"/>
  <c r="U154" i="1"/>
  <c r="O154" i="1" s="1"/>
  <c r="M154" i="1" s="1"/>
  <c r="K154" i="1"/>
  <c r="O153" i="1"/>
  <c r="M153" i="1" s="1"/>
  <c r="K153" i="1"/>
  <c r="N153" i="1" s="1"/>
  <c r="M152" i="1"/>
  <c r="K152" i="1"/>
  <c r="K151" i="1"/>
  <c r="L151" i="1" s="1"/>
  <c r="N150" i="1"/>
  <c r="L150" i="1"/>
  <c r="O149" i="1"/>
  <c r="M149" i="1" s="1"/>
  <c r="K149" i="1"/>
  <c r="N149" i="1" s="1"/>
  <c r="N148" i="1"/>
  <c r="L148" i="1"/>
  <c r="O147" i="1"/>
  <c r="K147" i="1"/>
  <c r="N147" i="1" s="1"/>
  <c r="K146" i="1"/>
  <c r="P145" i="1"/>
  <c r="O145" i="1"/>
  <c r="M145" i="1" s="1"/>
  <c r="K145" i="1"/>
  <c r="K144" i="1"/>
  <c r="N144" i="1" s="1"/>
  <c r="O143" i="1"/>
  <c r="M143" i="1" s="1"/>
  <c r="K143" i="1"/>
  <c r="K142" i="1"/>
  <c r="L142" i="1" s="1"/>
  <c r="K141" i="1"/>
  <c r="L141" i="1" s="1"/>
  <c r="M140" i="1"/>
  <c r="K140" i="1"/>
  <c r="N140" i="1" s="1"/>
  <c r="O139" i="1"/>
  <c r="K139" i="1"/>
  <c r="M138" i="1"/>
  <c r="K138" i="1"/>
  <c r="M137" i="1"/>
  <c r="K137" i="1"/>
  <c r="M135" i="1"/>
  <c r="E135" i="1"/>
  <c r="K134" i="1"/>
  <c r="L134" i="1" s="1"/>
  <c r="K133" i="1"/>
  <c r="L133" i="1" s="1"/>
  <c r="K132" i="1"/>
  <c r="E130" i="1"/>
  <c r="U129" i="1"/>
  <c r="O129" i="1" s="1"/>
  <c r="M129" i="1" s="1"/>
  <c r="M130" i="1" s="1"/>
  <c r="K129" i="1"/>
  <c r="N129" i="1" s="1"/>
  <c r="E126" i="1"/>
  <c r="K125" i="1"/>
  <c r="L125" i="1" s="1"/>
  <c r="O124" i="1"/>
  <c r="M124" i="1" s="1"/>
  <c r="M126" i="1" s="1"/>
  <c r="K124" i="1"/>
  <c r="K126" i="1" s="1"/>
  <c r="E122" i="1"/>
  <c r="O121" i="1"/>
  <c r="M121" i="1" s="1"/>
  <c r="M122" i="1" s="1"/>
  <c r="K121" i="1"/>
  <c r="E119" i="1"/>
  <c r="K118" i="1"/>
  <c r="L118" i="1" s="1"/>
  <c r="U117" i="1"/>
  <c r="U179" i="1" s="1"/>
  <c r="R117" i="1"/>
  <c r="P117" i="1"/>
  <c r="K117" i="1"/>
  <c r="E114" i="1"/>
  <c r="K113" i="1"/>
  <c r="M112" i="1"/>
  <c r="E112" i="1"/>
  <c r="K111" i="1"/>
  <c r="L111" i="1" s="1"/>
  <c r="K110" i="1"/>
  <c r="L110" i="1" s="1"/>
  <c r="K109" i="1"/>
  <c r="L109" i="1" s="1"/>
  <c r="K107" i="1"/>
  <c r="M106" i="1"/>
  <c r="E106" i="1"/>
  <c r="K105" i="1"/>
  <c r="K106" i="1" s="1"/>
  <c r="M104" i="1"/>
  <c r="E104" i="1"/>
  <c r="K103" i="1"/>
  <c r="E102" i="1"/>
  <c r="M100" i="1"/>
  <c r="M99" i="1"/>
  <c r="K98" i="1"/>
  <c r="E98" i="1"/>
  <c r="P97" i="1"/>
  <c r="O97" i="1"/>
  <c r="M97" i="1" s="1"/>
  <c r="K97" i="1"/>
  <c r="N97" i="1" s="1"/>
  <c r="K96" i="1"/>
  <c r="L96" i="1" s="1"/>
  <c r="K95" i="1"/>
  <c r="L95" i="1" s="1"/>
  <c r="K94" i="1"/>
  <c r="L94" i="1" s="1"/>
  <c r="K93" i="1"/>
  <c r="L93" i="1" s="1"/>
  <c r="K92" i="1"/>
  <c r="L92" i="1" s="1"/>
  <c r="N91" i="1"/>
  <c r="K91" i="1"/>
  <c r="L91" i="1" s="1"/>
  <c r="O90" i="1"/>
  <c r="M90" i="1" s="1"/>
  <c r="K90" i="1"/>
  <c r="N90" i="1" s="1"/>
  <c r="E88" i="1"/>
  <c r="K87" i="1"/>
  <c r="L87" i="1" s="1"/>
  <c r="O86" i="1"/>
  <c r="M86" i="1" s="1"/>
  <c r="K86" i="1"/>
  <c r="N86" i="1" s="1"/>
  <c r="K85" i="1"/>
  <c r="L85" i="1" s="1"/>
  <c r="K84" i="1"/>
  <c r="M82" i="1"/>
  <c r="J82" i="1"/>
  <c r="I82" i="1"/>
  <c r="H82" i="1"/>
  <c r="G82" i="1"/>
  <c r="F82" i="1"/>
  <c r="E82" i="1"/>
  <c r="K81" i="1"/>
  <c r="L81" i="1" s="1"/>
  <c r="N80" i="1"/>
  <c r="K80" i="1"/>
  <c r="L80" i="1" s="1"/>
  <c r="K79" i="1"/>
  <c r="L79" i="1" s="1"/>
  <c r="K78" i="1"/>
  <c r="M77" i="1"/>
  <c r="E77" i="1"/>
  <c r="K76" i="1"/>
  <c r="N76" i="1" s="1"/>
  <c r="E74" i="1"/>
  <c r="K73" i="1"/>
  <c r="L73" i="1" s="1"/>
  <c r="O72" i="1"/>
  <c r="M72" i="1" s="1"/>
  <c r="M74" i="1" s="1"/>
  <c r="K72" i="1"/>
  <c r="E70" i="1"/>
  <c r="K69" i="1"/>
  <c r="N69" i="1" s="1"/>
  <c r="K68" i="1"/>
  <c r="N68" i="1" s="1"/>
  <c r="O67" i="1"/>
  <c r="M67" i="1" s="1"/>
  <c r="K67" i="1"/>
  <c r="N67" i="1" s="1"/>
  <c r="O66" i="1"/>
  <c r="M66" i="1" s="1"/>
  <c r="K66" i="1"/>
  <c r="E64" i="1"/>
  <c r="P63" i="1"/>
  <c r="O63" i="1" s="1"/>
  <c r="M63" i="1" s="1"/>
  <c r="M64" i="1" s="1"/>
  <c r="K63" i="1"/>
  <c r="N63" i="1" s="1"/>
  <c r="M61" i="1"/>
  <c r="E61" i="1"/>
  <c r="O60" i="1"/>
  <c r="K60" i="1"/>
  <c r="K61" i="1" s="1"/>
  <c r="E58" i="1"/>
  <c r="K57" i="1"/>
  <c r="L57" i="1" s="1"/>
  <c r="O56" i="1"/>
  <c r="M56" i="1" s="1"/>
  <c r="K56" i="1"/>
  <c r="N56" i="1" s="1"/>
  <c r="K55" i="1"/>
  <c r="N55" i="1" s="1"/>
  <c r="M54" i="1"/>
  <c r="K54" i="1"/>
  <c r="N54" i="1" s="1"/>
  <c r="K53" i="1"/>
  <c r="L53" i="1" s="1"/>
  <c r="O52" i="1"/>
  <c r="K52" i="1"/>
  <c r="N52" i="1" s="1"/>
  <c r="O51" i="1"/>
  <c r="K51" i="1"/>
  <c r="N51" i="1" s="1"/>
  <c r="O50" i="1"/>
  <c r="K50" i="1"/>
  <c r="O49" i="1"/>
  <c r="K49" i="1"/>
  <c r="E47" i="1"/>
  <c r="K46" i="1"/>
  <c r="L46" i="1" s="1"/>
  <c r="O45" i="1"/>
  <c r="M45" i="1" s="1"/>
  <c r="K45" i="1"/>
  <c r="N45" i="1" s="1"/>
  <c r="O44" i="1"/>
  <c r="M44" i="1" s="1"/>
  <c r="K44" i="1"/>
  <c r="M43" i="1"/>
  <c r="K43" i="1"/>
  <c r="N43" i="1" s="1"/>
  <c r="M42" i="1"/>
  <c r="K42" i="1"/>
  <c r="N42" i="1" s="1"/>
  <c r="O41" i="1"/>
  <c r="K41" i="1"/>
  <c r="N41" i="1" s="1"/>
  <c r="O40" i="1"/>
  <c r="M40" i="1" s="1"/>
  <c r="K40" i="1"/>
  <c r="N40" i="1" s="1"/>
  <c r="O39" i="1"/>
  <c r="K39" i="1"/>
  <c r="N39" i="1" s="1"/>
  <c r="P38" i="1"/>
  <c r="O38" i="1" s="1"/>
  <c r="K38" i="1"/>
  <c r="N38" i="1" s="1"/>
  <c r="M37" i="1"/>
  <c r="K37" i="1"/>
  <c r="N37" i="1" s="1"/>
  <c r="O36" i="1"/>
  <c r="K36" i="1"/>
  <c r="O35" i="1"/>
  <c r="M35" i="1" s="1"/>
  <c r="K35" i="1"/>
  <c r="N35" i="1" s="1"/>
  <c r="O34" i="1"/>
  <c r="M34" i="1" s="1"/>
  <c r="K34" i="1"/>
  <c r="R33" i="1"/>
  <c r="O33" i="1" s="1"/>
  <c r="M33" i="1" s="1"/>
  <c r="K33" i="1"/>
  <c r="N33" i="1" s="1"/>
  <c r="O32" i="1"/>
  <c r="M32" i="1" s="1"/>
  <c r="K32" i="1"/>
  <c r="R31" i="1"/>
  <c r="K31" i="1"/>
  <c r="O30" i="1"/>
  <c r="M30" i="1" s="1"/>
  <c r="K30" i="1"/>
  <c r="N30" i="1" s="1"/>
  <c r="Q29" i="1"/>
  <c r="O29" i="1" s="1"/>
  <c r="M29" i="1" s="1"/>
  <c r="K29" i="1"/>
  <c r="N29" i="1" s="1"/>
  <c r="M28" i="1"/>
  <c r="K28" i="1"/>
  <c r="Q27" i="1"/>
  <c r="O27" i="1" s="1"/>
  <c r="M27" i="1" s="1"/>
  <c r="K27" i="1"/>
  <c r="N27" i="1" s="1"/>
  <c r="O26" i="1"/>
  <c r="M26" i="1" s="1"/>
  <c r="K26" i="1"/>
  <c r="N26" i="1" s="1"/>
  <c r="O25" i="1"/>
  <c r="M25" i="1" s="1"/>
  <c r="K25" i="1"/>
  <c r="Q24" i="1"/>
  <c r="O24" i="1" s="1"/>
  <c r="K24" i="1"/>
  <c r="K23" i="1"/>
  <c r="L23" i="1" s="1"/>
  <c r="O22" i="1"/>
  <c r="K22" i="1"/>
  <c r="M21" i="1"/>
  <c r="K21" i="1"/>
  <c r="N21" i="1" s="1"/>
  <c r="K20" i="1"/>
  <c r="L20" i="1" s="1"/>
  <c r="E18" i="1"/>
  <c r="O17" i="1"/>
  <c r="K17" i="1"/>
  <c r="L17" i="1" s="1"/>
  <c r="K16" i="1"/>
  <c r="L16" i="1" s="1"/>
  <c r="M15" i="1"/>
  <c r="K15" i="1"/>
  <c r="O14" i="1"/>
  <c r="K14" i="1"/>
  <c r="N14" i="1" s="1"/>
  <c r="O13" i="1"/>
  <c r="K13" i="1"/>
  <c r="O12" i="1"/>
  <c r="M12" i="1" s="1"/>
  <c r="K12" i="1"/>
  <c r="S11" i="1"/>
  <c r="O11" i="1"/>
  <c r="M11" i="1" s="1"/>
  <c r="K11" i="1"/>
  <c r="E9" i="1"/>
  <c r="S8" i="1"/>
  <c r="S179" i="1" s="1"/>
  <c r="K8" i="1"/>
  <c r="K9" i="1" s="1"/>
  <c r="L42" i="1" l="1"/>
  <c r="N16" i="1"/>
  <c r="N79" i="1"/>
  <c r="N109" i="1"/>
  <c r="N118" i="1"/>
  <c r="K135" i="1"/>
  <c r="N135" i="1" s="1"/>
  <c r="L50" i="1"/>
  <c r="K82" i="1"/>
  <c r="K112" i="1"/>
  <c r="L13" i="1"/>
  <c r="N17" i="1"/>
  <c r="L29" i="1"/>
  <c r="L36" i="1"/>
  <c r="N78" i="1"/>
  <c r="N81" i="1"/>
  <c r="N94" i="1"/>
  <c r="L152" i="1"/>
  <c r="N162" i="1"/>
  <c r="E179" i="1"/>
  <c r="O117" i="1"/>
  <c r="M117" i="1" s="1"/>
  <c r="M119" i="1" s="1"/>
  <c r="E115" i="1"/>
  <c r="E127" i="1"/>
  <c r="K163" i="1"/>
  <c r="N171" i="1"/>
  <c r="L44" i="1"/>
  <c r="L24" i="1"/>
  <c r="L55" i="1"/>
  <c r="N87" i="1"/>
  <c r="M102" i="1"/>
  <c r="N93" i="1"/>
  <c r="N96" i="1"/>
  <c r="L106" i="1"/>
  <c r="N112" i="1"/>
  <c r="L117" i="1"/>
  <c r="L139" i="1"/>
  <c r="L178" i="1"/>
  <c r="E6" i="1"/>
  <c r="N20" i="1"/>
  <c r="R179" i="1"/>
  <c r="L15" i="1"/>
  <c r="N24" i="1"/>
  <c r="L25" i="1"/>
  <c r="L26" i="1"/>
  <c r="L28" i="1"/>
  <c r="L30" i="1"/>
  <c r="L32" i="1"/>
  <c r="L34" i="1"/>
  <c r="L35" i="1"/>
  <c r="L78" i="1"/>
  <c r="L82" i="1" s="1"/>
  <c r="K88" i="1"/>
  <c r="N88" i="1" s="1"/>
  <c r="N92" i="1"/>
  <c r="N95" i="1"/>
  <c r="N126" i="1"/>
  <c r="L138" i="1"/>
  <c r="N139" i="1"/>
  <c r="L140" i="1"/>
  <c r="L161" i="1"/>
  <c r="L170" i="1"/>
  <c r="K47" i="1"/>
  <c r="L40" i="1"/>
  <c r="M18" i="1"/>
  <c r="N13" i="1"/>
  <c r="L21" i="1"/>
  <c r="N36" i="1"/>
  <c r="L37" i="1"/>
  <c r="L43" i="1"/>
  <c r="L45" i="1"/>
  <c r="N46" i="1"/>
  <c r="N50" i="1"/>
  <c r="L51" i="1"/>
  <c r="N53" i="1"/>
  <c r="L56" i="1"/>
  <c r="N57" i="1"/>
  <c r="L67" i="1"/>
  <c r="N73" i="1"/>
  <c r="N84" i="1"/>
  <c r="N85" i="1"/>
  <c r="L97" i="1"/>
  <c r="N105" i="1"/>
  <c r="N110" i="1"/>
  <c r="M115" i="1"/>
  <c r="L121" i="1"/>
  <c r="M144" i="1"/>
  <c r="L144" i="1" s="1"/>
  <c r="M147" i="1"/>
  <c r="L159" i="1"/>
  <c r="M168" i="1"/>
  <c r="M164" i="1" s="1"/>
  <c r="N177" i="1"/>
  <c r="N23" i="1"/>
  <c r="K58" i="1"/>
  <c r="N58" i="1" s="1"/>
  <c r="L54" i="1"/>
  <c r="K74" i="1"/>
  <c r="N74" i="1" s="1"/>
  <c r="L84" i="1"/>
  <c r="L105" i="1"/>
  <c r="N107" i="1"/>
  <c r="N111" i="1"/>
  <c r="L137" i="1"/>
  <c r="L149" i="1"/>
  <c r="L156" i="1"/>
  <c r="L167" i="1"/>
  <c r="N174" i="1"/>
  <c r="L177" i="1"/>
  <c r="L66" i="1"/>
  <c r="M70" i="1"/>
  <c r="N9" i="1"/>
  <c r="L9" i="1"/>
  <c r="L11" i="1"/>
  <c r="L12" i="1"/>
  <c r="N47" i="1"/>
  <c r="L61" i="1"/>
  <c r="N61" i="1"/>
  <c r="M88" i="1"/>
  <c r="L88" i="1" s="1"/>
  <c r="L86" i="1"/>
  <c r="N12" i="1"/>
  <c r="N25" i="1"/>
  <c r="N8" i="1"/>
  <c r="L14" i="1"/>
  <c r="N15" i="1"/>
  <c r="K18" i="1"/>
  <c r="N18" i="1" s="1"/>
  <c r="L22" i="1"/>
  <c r="N28" i="1"/>
  <c r="N31" i="1"/>
  <c r="N32" i="1"/>
  <c r="L33" i="1"/>
  <c r="L39" i="1"/>
  <c r="N44" i="1"/>
  <c r="O8" i="1"/>
  <c r="N22" i="1"/>
  <c r="Q179" i="1"/>
  <c r="L27" i="1"/>
  <c r="O31" i="1"/>
  <c r="M31" i="1" s="1"/>
  <c r="M38" i="1"/>
  <c r="L38" i="1" s="1"/>
  <c r="P179" i="1"/>
  <c r="M39" i="1"/>
  <c r="L41" i="1"/>
  <c r="L49" i="1"/>
  <c r="L52" i="1"/>
  <c r="M58" i="1"/>
  <c r="L58" i="1" s="1"/>
  <c r="L60" i="1"/>
  <c r="L63" i="1"/>
  <c r="K64" i="1"/>
  <c r="N64" i="1" s="1"/>
  <c r="L68" i="1"/>
  <c r="L69" i="1"/>
  <c r="L72" i="1"/>
  <c r="L90" i="1"/>
  <c r="K102" i="1"/>
  <c r="L102" i="1" s="1"/>
  <c r="L135" i="1"/>
  <c r="L143" i="1"/>
  <c r="L154" i="1"/>
  <c r="L155" i="1"/>
  <c r="L166" i="1"/>
  <c r="N11" i="1"/>
  <c r="N34" i="1"/>
  <c r="N49" i="1"/>
  <c r="N60" i="1"/>
  <c r="K70" i="1"/>
  <c r="N70" i="1" s="1"/>
  <c r="N66" i="1"/>
  <c r="N72" i="1"/>
  <c r="K77" i="1"/>
  <c r="L77" i="1" s="1"/>
  <c r="L76" i="1"/>
  <c r="K104" i="1"/>
  <c r="N104" i="1" s="1"/>
  <c r="L103" i="1"/>
  <c r="N103" i="1"/>
  <c r="N106" i="1"/>
  <c r="K114" i="1"/>
  <c r="N114" i="1" s="1"/>
  <c r="L113" i="1"/>
  <c r="N113" i="1"/>
  <c r="L98" i="1"/>
  <c r="N98" i="1"/>
  <c r="L104" i="1"/>
  <c r="L112" i="1"/>
  <c r="N163" i="1"/>
  <c r="L145" i="1"/>
  <c r="L175" i="1"/>
  <c r="N175" i="1"/>
  <c r="L107" i="1"/>
  <c r="L124" i="1"/>
  <c r="N125" i="1"/>
  <c r="L126" i="1"/>
  <c r="L129" i="1"/>
  <c r="K130" i="1"/>
  <c r="N132" i="1"/>
  <c r="N133" i="1"/>
  <c r="N134" i="1"/>
  <c r="N137" i="1"/>
  <c r="N141" i="1"/>
  <c r="N142" i="1"/>
  <c r="M146" i="1"/>
  <c r="L146" i="1" s="1"/>
  <c r="L147" i="1"/>
  <c r="N151" i="1"/>
  <c r="L153" i="1"/>
  <c r="L157" i="1"/>
  <c r="L160" i="1"/>
  <c r="K168" i="1"/>
  <c r="L174" i="1"/>
  <c r="N117" i="1"/>
  <c r="K119" i="1"/>
  <c r="N121" i="1"/>
  <c r="K122" i="1"/>
  <c r="N138" i="1"/>
  <c r="N143" i="1"/>
  <c r="N145" i="1"/>
  <c r="N146" i="1"/>
  <c r="N152" i="1"/>
  <c r="N154" i="1"/>
  <c r="N155" i="1"/>
  <c r="N158" i="1"/>
  <c r="N161" i="1"/>
  <c r="N166" i="1"/>
  <c r="N170" i="1"/>
  <c r="K172" i="1"/>
  <c r="N178" i="1"/>
  <c r="N124" i="1"/>
  <c r="L132" i="1"/>
  <c r="K176" i="1"/>
  <c r="N176" i="1" s="1"/>
  <c r="L74" i="1" l="1"/>
  <c r="M47" i="1"/>
  <c r="L47" i="1" s="1"/>
  <c r="L168" i="1"/>
  <c r="N168" i="1"/>
  <c r="K164" i="1"/>
  <c r="L172" i="1"/>
  <c r="N172" i="1"/>
  <c r="E181" i="1"/>
  <c r="L114" i="1"/>
  <c r="M163" i="1"/>
  <c r="L176" i="1"/>
  <c r="L31" i="1"/>
  <c r="L70" i="1"/>
  <c r="L119" i="1"/>
  <c r="K115" i="1"/>
  <c r="O179" i="1"/>
  <c r="M181" i="1" s="1"/>
  <c r="M8" i="1"/>
  <c r="L64" i="1"/>
  <c r="L18" i="1"/>
  <c r="L122" i="1"/>
  <c r="N122" i="1"/>
  <c r="L130" i="1"/>
  <c r="K127" i="1"/>
  <c r="N130" i="1"/>
  <c r="K6" i="1"/>
  <c r="K179" i="1"/>
  <c r="N6" i="1" l="1"/>
  <c r="N181" i="1"/>
  <c r="O181" i="1"/>
  <c r="L163" i="1"/>
  <c r="M127" i="1"/>
  <c r="L127" i="1" s="1"/>
  <c r="L164" i="1"/>
  <c r="N164" i="1"/>
  <c r="N115" i="1"/>
  <c r="L115" i="1"/>
  <c r="K180" i="1"/>
  <c r="K181" i="1" s="1"/>
  <c r="N179" i="1"/>
  <c r="N127" i="1"/>
  <c r="M9" i="1"/>
  <c r="L8" i="1"/>
  <c r="M179" i="1" l="1"/>
  <c r="M180" i="1" s="1"/>
  <c r="M6" i="1"/>
  <c r="L6" i="1" s="1"/>
  <c r="M182" i="1" l="1"/>
  <c r="N180" i="1"/>
  <c r="L179" i="1"/>
  <c r="K183" i="1" l="1"/>
  <c r="K182" i="1"/>
  <c r="M184" i="1"/>
  <c r="N182" i="1"/>
</calcChain>
</file>

<file path=xl/sharedStrings.xml><?xml version="1.0" encoding="utf-8"?>
<sst xmlns="http://schemas.openxmlformats.org/spreadsheetml/2006/main" count="490" uniqueCount="344">
  <si>
    <t xml:space="preserve">ลำดับ
</t>
  </si>
  <si>
    <t>ประเด็นยุทธศาสตร์
จังหวัด/กลุ่มจังหวัด</t>
  </si>
  <si>
    <t>โครงการ/กิจกรรม</t>
  </si>
  <si>
    <t>หน่วยดำเนินการ</t>
  </si>
  <si>
    <t>งบประมาณ</t>
  </si>
  <si>
    <t>ความสอดคล้อง</t>
  </si>
  <si>
    <t>เบิกจ่าย</t>
  </si>
  <si>
    <t>คงเหลือ</t>
  </si>
  <si>
    <t>เหลือจ่าย</t>
  </si>
  <si>
    <t>ร้อยละ</t>
  </si>
  <si>
    <t>ใช้เงินเหลือจ่ายโอนเปลี่ยนแปลงไปทำรายการอื่น</t>
  </si>
  <si>
    <t>รายการใช้เงินเหลือจ่าย
โอนเปลี่ยนแปลงแต่ละครั้ง</t>
  </si>
  <si>
    <t>หมายเหตุ</t>
  </si>
  <si>
    <t>วิสัยทัศน์ของประเทศไทย
(ระบุหมายเลข)</t>
  </si>
  <si>
    <t>ยุทธศาสตร์ชาติ
(ระบุหมายเลข)</t>
  </si>
  <si>
    <t>แผนพัฒนาเศรษฐกิจและสังคมแห่งชาติ ฉบับที่ 12
(ระบุหมายเลข)</t>
  </si>
  <si>
    <t>นโยบาลรัฐบาล
(ระบุหมายเลข)</t>
  </si>
  <si>
    <t>แผนบูรณาการเชิงยุทธศาสตร์
(ระบุหมายเลข)</t>
  </si>
  <si>
    <t>ว/ด/ป 
ลงนามในสัญญา</t>
  </si>
  <si>
    <t>ว/ด/ป
สิ้นสุดสัญญา</t>
  </si>
  <si>
    <t>เลขที่สัญญา</t>
  </si>
  <si>
    <t>เลขที่โครงการใน EGP</t>
  </si>
  <si>
    <t>เลขคุมสัญญา</t>
  </si>
  <si>
    <t>PO</t>
  </si>
  <si>
    <t>ผลผลิต : การพัฒนาด้านเศรษฐกิจ</t>
  </si>
  <si>
    <t>กิจกรรมหลัก : พัฒนาโครงสร้างพื้นฐาน
โครงการเสริมสร้างศักยภาพให้จังหวัดลำปาง
พัฒนาเป็นศูนย์กลางโลจิสติกส์ทางบกของภาคเหนือตอนบน</t>
  </si>
  <si>
    <t xml:space="preserve">การเพิ่มประสิทธิภาพการพัฒนาระบบโลจิสติกส์ของจังหวัดลำปาง
งบลงทุน 
 - พัฒนาและปรับปรุงระบบคมนาคมเพื่อส่งเสริมการพัฒนาระบบโลจิสติกส์เสริมผิวลาดยาง
แอสฟัลติกคอนกรีต ขนาดกว้าง 6.00 เมตร ระยะทาง 1.950 กิโลเมตร ในพื้นที่ตำบลวังพร้าว 
อำเภอเกาะคา จังหวัดลำปาง 6,848,000 บาท 
- พัฒนาและปรับปรุงระบบคมนาคมเพื่อส่งเสริมการพัฒนาระบบโลจิสติกส์เสริมผิวทางแอสฟัลติก
คอนกรีต ขนาดกว้าง 5.00 เมตร ระยะทาง 3.250 กิโลเมตร ในพื้นที่ตำบลบ้านเป้า อำเภอเมืองลำปาง จังหวัดลำปาง 6,465,000 บาท
</t>
  </si>
  <si>
    <t>สำนักงานโยธาธิการและผังเมือง
จังหวัดลำปาง</t>
  </si>
  <si>
    <t>รวม 1 กิจกรรม</t>
  </si>
  <si>
    <t xml:space="preserve"> โครงการยกระดับพัฒนาอุตสาหกรรมการท่องเที่ยวและโครงสร้างพื้นฐาน
ให้ได้มาตรฐาน</t>
  </si>
  <si>
    <t xml:space="preserve">เสริมสร้างศักยภาพการท่องเที่ยวเชิงนิเวศน์ 
งบดำเนินงาน
- ค่าตอบแทนวิทยากรสัมมนาและฝึกอบรม 200,000 บาท
- ค่าจ้างเหมาจัดทำสื่อประชาสัมพันธ์ 500,000 บาท
งบลงทุน 
- ปรับปรุงภูมิทัศน์ในพื้นที่อุทยานแห่งชาติแม่วะ หมู่ที่ 3 ตำบลแม่วะ อำเภอเถิน 
จังหวัดลำปาง 500,000 บาท
- ปรับปรุงซ่อมแซมสิ่งอำนวยความสะดวก อุทยานแห่งชาติแม่วะ หมู่ที่ 3 ตำบลแม่วะ อำเภอเถิน จังหวัดลำปาง 500,000 บาท
- ก่อสร้างอาคารบ้านพักเจ้าหน้าที่แบบ 2 ห้องนอน อุทยานแห่งชาติแม่วะ หมู่ที่ 3 ตำบลแม่วะ 
อำเภอเถิน จังหวัดลำปาง 1,506,000 บาท
- ก่อสร้างบ้านพักนักท่องเที่ยว แบบ 4 ห้องพัก อุทยานแห่งชาติแม่วะ  หมู่ที่ 3 ตำบลแม่วะ อำเภอเถิน จังหวัดลำปาง 2,525,000 บาท
- ก่อสร้างห้องน้ำ ห้องสุขา หน่วยพิทักษ์ป่า อุทยานแห่งชาติดอยขุนตาล หมู่ที่ 9 ตำบลเวียงตาล อำเภอห้างฉัตร จังหวัดลำปาง 704,000 บาท
</t>
  </si>
  <si>
    <t>สำนักบริหารพื้นที่อนุรักษ์ที่ 13 
(สาขาลำปาง)</t>
  </si>
  <si>
    <t xml:space="preserve">พัฒนาเส้นทางสู่แหล่งท่องเที่ยวน้ำตกแม่ปาย หมู่ที่ 1 ตำบลหัวเมือง อำเภอเมืองปาน จังหวัดลำปาง 
งบลงทุน 
 - พัฒนาเส้นทางสู่แหล่งท่องเที่ยวน้ำตกแม่ปาย ก่อสร้างถนนคอนกรีตเสริมเหล็ก ขนาดกว้าง 
4.00 เมตร ยาว 864.00 เมตร หมู่ที่ 1 ตำบลหัวเมือง อำเภอเมืองปานจังหวัดลำปาง 1,937,000 บาท
</t>
  </si>
  <si>
    <t>ที่ทำการปกครองอำเภอเมืองปาน</t>
  </si>
  <si>
    <t xml:space="preserve">ปรับปรุงภูมิทัศน์และพัฒนาแหล่งท่องเที่ยวอนุสรณ์สะพานโยง หมู่ที่ 3- หมู่ที่ 4 ตำบลหลวงเหนือ อำเภองาว จังหวัดลำปาง
งบลงทุน 
 -ปรับปรุงภูมิทัศน์และพัฒนาแหล่งท่องเที่ยวอนุสรณ์สะพานโยง หมู่ที่ 3 - หมู่ที่ 4 ตำบลหลวงเหนือ อำเภองาว จังหวัดลำปาง 2,500,000 บาท
</t>
  </si>
  <si>
    <t>ที่ทำการปกครองอำเภองาว</t>
  </si>
  <si>
    <t xml:space="preserve">ปรับปรุงหนองน้ำบึงบัวบ้านโป่ง หมู่ที่ 4 ตำบลบ้านโป่ง อำเภองาว จังหวัดลำปาง 
งบลงทุน  
- ก่อสร้างถนนคอนกรีตเสริมเหล็กรอบหนองน้ำบึงบัวขนาดกว้าง 4.00 เมตร  ยาว 895.00 เมตร  
หมู่ที่ 4 ตำบลบ้านโป่ง อำเภองาว จังหวัดลำปาง 3,000,000 บาท
</t>
  </si>
  <si>
    <t xml:space="preserve">ปรับปรุงภูมิทัศน์แหล่งท่องเที่ยวและเรียนรู้ธรรมชาติวิทยา หมู่ที่ 6 ตำบลบ้านหวด อำเภองาว 
จังหวัดลำปาง
งบลงทุน 
- ปรับปรุงภูมิทัศน์แหล่งท่องเที่ยวและเรียนรู้ธรรมชาติวิทยา ก่อสร้างถนนคอนกรีตเสริมเหล็ก 
ขนาดกว้าง 3.00 เมตร ยาว 156.00 เมตร หมู่ที่ 6 ตำบลบ้านหวด อำเภองาว จังหวัดลำปาง 
264,000 บาท
</t>
  </si>
  <si>
    <t>สืบฮีต สานฮอย วิถีคนเมืองลกอน 
งบดำเนินงาน
 - ค่าใช้จ่ายในการฝึกอบรมสัมมนา (ประชาชนทั่วไป) 446,000 บาท</t>
  </si>
  <si>
    <t>สำนักงานวัฒนธรรมจังหวัดลำปาง</t>
  </si>
  <si>
    <t xml:space="preserve">พัฒนาแหล่งท่องเที่ยวเชิงศึกษาเรียนรู้หมู่บ้านหัตถกรรมไม้แกะสลักบ้านหลุก 
งบดำเนินงาน
 - ค่าจ้างเหมาจัดแสดงนิทรรศการ 733,000 บาท 
</t>
  </si>
  <si>
    <t>ที่ทำการปกครองอำเภอแม่ทะ</t>
  </si>
  <si>
    <t>รวม 7 กิจกรรม</t>
  </si>
  <si>
    <t>โครงการพัฒนาโครงสร้างพื้นฐานเพื่อการบริการประชาชนอย่างทั่วถึงมีมาตรฐานและมีประสิทธิภาพ ประเภทถนน</t>
  </si>
  <si>
    <t>ก่อสร้างเสริมผิวถนนลาดยางแอสฟัลท์ติกคอนกรีต บ้านท่าต้นแหน หมู่ที่ 2 ตำบลพระบาทวังตวง อำเภอแม่พริก จังหวัดลำปาง
งบลงทุน 
 - ปรับปรุงเสริมผิวถนนลาดยางแอสฟัลติกคอนกรีต ขนาดกว้าง 4.00 เมตร ยาว 700.00 เมตร 
หมู่ที่ 2 ตำบลพระบาทวังตวง อำเภอแม่พริก จังหวัดลำปาง</t>
  </si>
  <si>
    <t>ที่ทำการปกครองอำเภอแม่พริก</t>
  </si>
  <si>
    <t>ขอยกเลิกโครงการ</t>
  </si>
  <si>
    <t>ก่อสร้างถนนคอนกรีตเสริมเหล็กสายบ้านท่าด่าน หมู่ที่ 2 ตำบลแม่พริก ถึงบ้านวังสำราญ หมู่ที่ 6 ตำบลแม่พริก อำเภอแม่พริก จังหวัดลำปาง
งบลงทุน
 - ก่อสร้างถนนคอนกรีตเสริมเหล็กสายบ้านท่าด่าน ขนาดกว้าง 4.00 เมตร ระยะทาง 1.000 กิโลเมตร หมู่ที่ 2 และหมู่ที่ 6 ตำบลแม่พริก อำเภอแม่พริก จังหวัดลำปาง</t>
  </si>
  <si>
    <t>ก่อสร้างถนนคอนกรีตเสริมเหล็กสู่ศูนย์เรียนรู้การเกษตร หมู่ที่ 3 ตำบลบ้านแหง อำเภองาว 
จังหวัดลำปาง
งบลงทุน
 - ก่อสร้างถนนคอนกรีตเสริมเหล็กสู่ศูนย์เรียนรู้การเกษตร ขนาดกว้าง 3.50 เมตร ยาว 560.00 เมตร หมู่ที่ 3 ตำบลบ้านแหง อำเภองาว จังหวัดลำปาง</t>
  </si>
  <si>
    <t>ก่อสร้างถนนลาดยางแบบCAPE SEAL สายบ้านร่มเย็น หมู่ที่ 8 - บ้านน้ำริน หมู่ที่ 11 ตำบลนิคมพัฒนา อำเภอเมืองลำปาง จังหวัดลำปาง
งบลงทุน
 - ก่อสร้างถนนลาดยางแบบแคพซีล สายบ้านร่มเย็น ขนาดกว้าง 5.00 เมตร ยาว 925.00 เมตร 
หมู่ที่ 8 - หมู่ที่ 11 ตำบลนิคมพัฒนา อำเภอเมืองลำปาง จังหวัดลำปาง</t>
  </si>
  <si>
    <t>ที่ทำการปกครองอำเภอเมืองลำปาง</t>
  </si>
  <si>
    <t>ขอยกเลิกโครงการ/ได้รับจัดสรรจากแหล่งอื่นแล้ว</t>
  </si>
  <si>
    <t xml:space="preserve">ปรับปรุงเส้นทางคมนาคม บ้านดอนไชย หมู่ที่ 7 ตำบลล้อมแรด อำเภอเถิน จังหวัดลำปาง 
(ถนนเส้นหลังที่ว่าการอำเภอเถิน หลังใหม่)
งบลงทุน
 - ก่อสร้างถนนคอนกรีตเสริมเหล็ก ขนาดกว้าง 4.00 เมตร ยาว 980.00 เมตร หมู่ 7 ตำบลล้อมแรด อำเภอเถิน จังหวัดลำปาง </t>
  </si>
  <si>
    <t>ที่ทำการปกครองอำเภอเถิน</t>
  </si>
  <si>
    <t xml:space="preserve">ก่อสร้างถนนแอสฟัลท์ติกคอนกรีต บ้านต๋อ (เรียบทางรถไฟสายเก่า) หมู่ที่ 3 ตำบลน้ำโจ้ อำเภอแม่ทะ จังหวัดลำปาง 
งบลงทุน
 - ก่อสร้างถนนแอสฟัลติกคอนกรีต เรียบทางรถไฟสายเก่า ขนาดกว้าง 5.00 เมตร ยาว 720.00 เมตร หมู่ที่ 3 ตำบลน้ำโจ้ อำเภอแม่ทะ จังหวัดลำปาง </t>
  </si>
  <si>
    <t>ก่อสร้างถนนลาดยางแอสฟัลท์ติกคอนกรีต บ้านน้ำโท้ง  หมู่ที่ 1 ตำบลนาครัว อำเภอแม่ทะ 
จังหวัดลำปาง
งบลงทุน
 - ก่อสร้างถนนลาดยางแอสฟัลติกคอนกรีต ขนาดกว้าง 5.00 เมตร ยาว 970.00 เมตร หมู่ที่ 1 
ตำบลนาครัว อำเภอแม่ทะ จังหวัดลำปาง</t>
  </si>
  <si>
    <t xml:space="preserve">ก่อสร้างถนนคอนกรีตเสริมเหล็ก หมู่ที่ 10 ตำบลแม่ทะ อำเภอแม่ทะ จังหวัดลำปาง
งบลงทุน
 - ก่อสร้างถนนคอนกรีตเสริมเหล็ก ขนาดกว้าง 4.00 เมตร ยาว 910.00 เมตร หมู่ที่ 10 ตำบลแม่ทะ อำเภอแม่ทะ จังหวัดลำปาง </t>
  </si>
  <si>
    <t xml:space="preserve"> ก่อสร้างถนนคอนกรีตเสริมเหล็กบ้านสบฟ้า หมู่ที่ 7 ตำบลแจ้ห่ม อำเภอแจ้ห่ม จังหวัดลำปาง
งบลงทุน
 - ก่อสร้างถนนคอนกรีตเสริมเหล็กบ้านสบฟ้า ขนาดกว้าง 4.00 เมตร ยาว 260.00 เมตร หมู่ที่ 7 ตำบลแจ้ห่ม อำเภอแจ้ห่ม จังหวัดลำปาง</t>
  </si>
  <si>
    <t>ที่ทำการปกครองอำเภอแจ้ห่ม</t>
  </si>
  <si>
    <t>เสริมผิวถนนลาดยาง Asphatic Concrete เส้นทางบ้านปงแล้ง หมู่ที่ 9 - บ้านปงประดู่ หมู่ที่ 11 
ตำบลเสริมขวา อำเภอเสริมงาม จังหวัดลำปาง
งบลงทุน
 - ปรับปรุงเสริมผิวถนนลาดยางแอสฟัลติกคอนกรีต เส้นทางบ้านปงแล้ง ขนาดกว้าง 5.00 เมตร ระยะทาง 1.650 กิโลเมตร หมู่ที่ 9 - หมู่ที่ 11 ตำบลเสริมขวา อำเภอเสริมงาม จังหวัดลำปาง</t>
  </si>
  <si>
    <t>ที่ทำการปกครองอำเภอเสริมงาม</t>
  </si>
  <si>
    <t>ก่อสร้างถนนคอนกรีตเสริมเหล็กบ้านแจ้คอน หมู่ที่ 6 ตำบลทุ่งผึ้ง อำเภอแจ้ห่ม จังหวัดลำปาง
งบลงทุน
 - ก่อสร้างถนนคอนกรีตเสริมเหล็กบ้านแจ้คอน ขนาดกว้าง 6.00 เมตร ยาว 500.00 เมตร หมู่ที่ 6 ตำบลทุ่งผึ้ง อำเภอแจ้ห่ม จังหวัดลำปาง</t>
  </si>
  <si>
    <t>ก่อสร้างถนนลาดยางแอสฟัลท์ติกคอนกรีต บ้านทุ่งทอง หมู่ที่ 7 ตำบลวิเชตนคร อำเภอแจ้ห่ม 
จังหวัดลำปาง
งบลงทุน
 - ก่อสร้างถนนลาดยางแอสฟัลติกคอนกรีต ขนาดกว้าง 4.00 เมตร ยาว 910.00 เมตร หมู่ที่ 7 
ตำบลวิเชตนคร อำเภอแจ้ห่ม จังหวัดลำปาง</t>
  </si>
  <si>
    <t>ซ่อมสร้างผิวทางด้วย Asphatic concrete ทางเข้าวัดพระธาตุดอยน้อย บ้านนางแตน หมู่ที่ 1 
ตำบลท่าผา อำเภอเกาะคา จังหวัดลำปาง
งบลงทุน
 - ปรับปรุงผิวทางด้วยแอสฟัลติกคอนกรีต ทางเข้าวัดพระธาตุดอยน้อย ช่วงที่ 1 
ขนาดกว้าง 4.00 เมตร ยาว 230.00 เมตร ช่วงที่ 2 ขนาดกว้าง 4.00 เมตร ยาว 460.00 เมตร 
หมู่ที่ 1 ตำบลท่าผา อำเภอเกาะคา จังหวัดลำปาง</t>
  </si>
  <si>
    <t>ที่ทำการปกครองอำเภอเกาะคา</t>
  </si>
  <si>
    <t>ก่อสร้างถนนลาดยางแบบพาราแคพซีล บ้านนาบอน หมู่ที่ 2 ตำบลทุ่งงาม อำเภอเสริมงาม 
จังหวัดลำปาง
งบลงทุน
 - ก่อสร้างถนนลาดยางแบบพาราเคปซีล ขนาดกว้าง 4.00 เมตร ยาว 826.00 เมตร หมู่ที่ 2 
ตำบลทุ่งงาม อำเภอเสริมงาม จังหวัดลำปาง</t>
  </si>
  <si>
    <t>ก่อสร้างถนนคอนกรีตเสริมเหล็กพร้อมท่อลอดเหลี่ยม บ้านนิคม 4 หมู่ที่ 4 ตำบลนิคมพัฒนา 
อำเภอเมืองลำปาง จังหวัดลำปาง
งบลงทุน
 - ก่อสร้างถนนคอนกรีตเสริมเหล็ก ขนาดกว้าง 5.00 เมตร ยาว 275.00 เมตร พร้อมท่อลอดเหลี่ยม  หมู่ที่ 4 ตำบลนิคมพัฒนา อำเภอเมืองลำปาง จังหวัดลำปาง</t>
  </si>
  <si>
    <t>ที่ทำการปกครอง
อำเภอเมืองลำปาง</t>
  </si>
  <si>
    <t>ปรับปรุงเสริมผิวถนนแอสฟัลท์ติกคอนกรีต บ้านปงชัย หมู่ที่ 11 ตำบลบ้านเสด็จ เชื่อม ตำบลทุ่งฝาย อำเภอเมืองลำปาง จังหวัดลำปาง
งบลงทุน
 - ปรับปรุงเสริมผิวถนนแอสฟัลติกคอนกรีต ช่วงที่ 1 ขนาดกว้าง 5.00 เมตร ยาว 885.00 เมตร 
ช่วงที่ 2 ขนาดกว้าง 4.00 เมตร ยาว 660.00 เมตร 
ช่วงที่ 3 ขนาดกว้าง 4.00 เมตร ยาว 145.00 เมตร หมู่ที่ 11 ตำบลบ้านเสด็จเชื่อมตำบลทุ่งฝาย 
อำเภอเมืองลำปาง จังหวัดลำปาง</t>
  </si>
  <si>
    <t>ก่อสร้างรางระบายน้ำ คสล. หมู่ที่ 11 ตำบลเมืองยาว อำเภอห้างฉัตร จังหวัดลำปาง
งบลงทุน
 - ก่อสร้างรางระบายน้ำคอนกรีตเสริมเหล็ก ขนาดกว้าง 0.40 เมตร ยาว 330.00 เมตร หมู่ที่ 11 ตำบลเมืองยาว อำเภอห้างฉัตร จังหวัดลำปาง</t>
  </si>
  <si>
    <t>ที่ทำการปกครองอำเภอห้างฉัตร</t>
  </si>
  <si>
    <t>ปรับปรุงถนนเดิมด้วยแอสฟัลท์ติกคอนกรีต (ตั้งแต่บ้านหัวฝาย หมู่ที่ 4 ตำบลนาครัว ถึงบ้านนาคต 
หมู่ที่ 9 ตำบลป่าตัน อำเภอแม่ทะ จังหวัดลำปาง
งบลงทุน
 - ปรับปรุงถนนเดิมด้วยแอสฟัลติกคอนกรีต ขนาดกว้าง 6.00 เมตร ระยะทาง 2.200 กิโลเมตร 
หมู่ที่ 4 ตำบลนาครัว - หมู่ที่ 9 ตำบลป่าตัน อำเภอแม่ทะ จังหวัดลำปาง</t>
  </si>
  <si>
    <t>ก่อสร้างเสริมผิวลาดยางแอสฟัลท์ติกสายบ้านห้วยมะเกลือ หมู่ที่ 4 - บ้านดอนไฟ หมู่ที่ 7 ตำบลหัวเสือ อำเภอแม่ทะ จังหวัดลำปาง
งบลงทุน
 - ก่อสร้างเสริมผิวลาดยางแอสฟัลติกคอนกรีต ขนาดกว้าง 6.00 เมตร ยาว 800.00 เมตร  
หมู่ที่ 4 - หมู่ที่ 7 ตำบลหัวเสือ อำเภอแม่ทะ จังหวัดลำปาง</t>
  </si>
  <si>
    <t>ก่อสร้างถนนคอนกรีตเสริมเหล็ก สายบ้านนาฟาน หมู่ที่ 5 ต.ดอนไฟ - 
บ้านหนองมุง หมู่ที่ 10 ตำบลหัวเสือ อำเภอแม่ทะ จังหวัดลำปาง
งบลงทุน
 - ก่อสร้างถนนคอนกรีตเสริมเหล็ก ขนาดกว้าง 5.00 เมตร ระยะทาง 
1.091 กิโลเมตร สายบ้านนาฟาน - หนองมุง อำเภอแม่ทะ จังหวัดลำปาง</t>
  </si>
  <si>
    <t>ก่อสร้างถนนแอสฟัลท์ติกคอนกรีตสายเลียบแม่น้ำวัง บ้านใหม่ หมู่ที่ 6 ตำบลวังเหนือ อำเภอวังเหนือ จังหวัดลำปาง
งบลงทุน
 - ก่อสร้างถนนแอสฟัลติกคอนกรีตสายเลียบแม่น้ำวัง ขนาดกว้าง 5.00 เมตร 
ระยะทาง 1.560 กิโลเมตร หมู่ที่ 6 ตำบลวังเหนือ อำเภอวังเหนือ จังหวัดลำปาง</t>
  </si>
  <si>
    <t>ที่ทำการปกครองอำเภอวังเหนือ</t>
  </si>
  <si>
    <t>ก่อสร้างถนน คสล.บ้านก่อ หมู่ที่ 6 ตำบลวังทรายคำ อำเภอวังเหนือ จังหวัดลำปาง
- ก่อสร้างถนน คสล. บ้านก่อ หมู่ที่ 6 ตำบลวังทรายคำ อำเภอวังเหนือ ขนาดผิวจราจรกว้าง 4 เมตร ยาว 958 เมตร หนา 0.15 เมตร หรือ มีพื้นที่ไม่น้อยกว่า 3,832 ตารางเมตร โดยแบ่งเป็น 3 ช่วง</t>
  </si>
  <si>
    <t>โอนเปลี่ยนแปลงมาแทนโครงการที่ขอยกเลิก</t>
  </si>
  <si>
    <t>ก่อสร้างถนน คสล.บ้านตึงใต้ หมู่ที่ 1 ตำบลวังทอง อำเภอวังเหนือ จังหวัดลำปาง
- ก่อสร้างถนน คสล. บ้านเมืองตึงใต้ หมู่ที่ 1 ตำบลวังทอง อำเภอวังเหนือ ขนาดกว้าง 4 เมตร ยาว 243 เมตร หนา 0.15 เมตร หรือ มีพื้นที่ไม่น้อยกว่า 972 ตารางเมตร</t>
  </si>
  <si>
    <t>ก่อสร้างถนน คสล. ซอย 7/2 หมู่ 2 ตำบลแม่วะ อำเภอเถิน จังหวัดลำปาง
- ก่อสร้างถนน คสล. กว้างเฉลี่ย 3.50 ม. ยาวเฉลี่ย 138 ม. หนาเฉลี่ย 0.15  หรือมีพื้นที่ไม่น้อยกว่า 483 ตร.ม.</t>
  </si>
  <si>
    <t xml:space="preserve">ก่อสร้างถนนคอนกรีตเสริมเหล็กบ้านไผ่ทอง หมู่ที่ 6 - บ้านไผ่แพะ หมู่ที่ 5 ตำบลเมืองมาย อำเภอแจ้ห่ม จังหวัดลำปาง
- ก่อสร้างถนนคอนกรีตเสริมเหล็กบ้านไผ่ทอง - บ้านนาไหม้  ขนาดผิวจราจรกว้าง 5.00 เมตร ยาว 700 เมตร หนา 0.15  เมตร หรือมีพื้นที่ไม่น้อยกว่า 3,500  ตารางเมตร  </t>
  </si>
  <si>
    <t>ใช้เงินเหลือจ่ายมาดำเนินการ</t>
  </si>
  <si>
    <t xml:space="preserve">เสริมผิวทางแอสฟัลท์ติกคอนกรีตปรับปรุงคุณภาพด้วยยางธรรมชาติถนน บ้านมั่ว-นาเห็น หมู่ที่ 4 ตำบลทุ่งงาม อำเภอเสริมงาม จังหวัดลำปาง
- เสริมผิวทางแอลฟัลท์ติกคอนกรีตปรับปรุงคุณภาพด้วยยางธรรมชาติถนน บ้านมั่ว-นาเห็น ขนาดกว้าง 4.00 เมตร ยาว 500 เมตร หนาเฉลี่ย 0.05 เมตร หรือมีพื้นที่แอลฟัลท์ติกคอนกรีตปรับปรุงคุณภาพด้วยยางธรรมชาติไม่น้อยกว่า 2,000 ตารางเมตร
</t>
  </si>
  <si>
    <t xml:space="preserve">ก่อสร้างถนนคอนกรีตเสริมเหล็ก บ้านแม่ไทย-บ้านแม่อิบ หมู่ที่2 บ้านบอม อำเภอแม่ทะ จังหวัดลำปาง
งบลงทุน
</t>
  </si>
  <si>
    <t>รวม 25 กิจกรรม</t>
  </si>
  <si>
    <t>โครงการพัฒนาโครงสร้างพื้นฐานเพื่อการบริการประชาชนอย่างทั่วถึง 
มีมาตรฐานและมีประสิทธิภาพประเภทป้องกันตลิ่งพัง น้ำท่วม</t>
  </si>
  <si>
    <t>ก่อสร้างรางระบายน้ำคอนกรีตเสริมเหล็ก ลำเหมืองสบฮวก บ้านเข้าซ้อน หมู่ที่ 1 
ตำบลไหล่หิน - บ้านหนองหล่าย หมู่ที่ 4 ตำบลเกาะคา อำเภอเกาะคา จังหวัดลำปาง
งบลงทุน
 - ก่อสร้างรางระบายน้ำคอนกรีตเสริมเหล็กลำเหมืองสบฮวก ความยาวรวม 258.00 เมตร หมู่ที่ 1 ตำบลไหล่หิน -  หมู่ที่ 4 ตำบลเกาะคา อำเภอเกาะคา จังหวัดลำปาง</t>
  </si>
  <si>
    <t>ก่อสร้างฝายน้ำลำห้วยแม่ปูน หมู่ที่ 6 ตำบลศาลา อำเภอเกาะคา จังหวัดลำปาง
งบลงทุน
 - ก่อสร้างฝายน้ำลำห้วยแม่ปูน สันฝายสูง 1.50 เมตร กว้าง 15.00 เมตร หมู่ที่ 6 ตำบลศาลา 
อำเภอเกาะคา จังหวัดลำปาง</t>
  </si>
  <si>
    <t>4/2560</t>
  </si>
  <si>
    <t>591105011211</t>
  </si>
  <si>
    <t>ก่อสร้างอาคารป้องกันตลิ่งพังลำห้วยสมัย บ้านทุ่งพัฒนา หมู่ที่ 9 ตำบลสบปราบ อำเภอสบปราบ  จังหวัดลำปาง
งบลงทุน
 - ก่อสร้างอาคารป้องกันตลิ่งพังลำห้วยสมัย ขนาดสูง 4.00 เมตร ยาว 80.00 เมตร หมู่ที่ 9 
ตำบลสบปราบ อำเภอสบปราบ  จังหวัดลำปาง</t>
  </si>
  <si>
    <t>ที่ทำการปกครองอำเภอสบปราบ</t>
  </si>
  <si>
    <t>ก่อสร้างผนังกันตลิ่งพร้อมขุดลอกฝายนาขาม ลำห้วยแม่ยอง บ้านนาไม้แดง หมู่ที่ 6 ตำบลนายาง อำเภอสบปราบ จังหวัดลำปาง
งบลงทุน
 -  ก่อสร้างผนังกันตลิ่งพร้อมขุดลอกฝายนาขาม ลำห้วยแม่ยอง ช่วงที่ 1 ความยาวรวม 40.00 เมตร ช่วงที่ 2 ความยาวรวม 40.00 เมตร หมู่ที่ 6 ตำบลนายาง อำเภอสบปราบ จังหวัดลำปาง</t>
  </si>
  <si>
    <t>ก่อสร้างผนังกันตลิ่งพร้อมขุดลอกฝายนาเค็งใต้ ลำห้วยแม่ยอง บ้านนาไม้แดง หมู่ที่ 6 ตำบลนายาง อำเภอสบปราบ จังหวัดลำปาง
งบลงทุน
 - ก่อสร้างผนังกันตลิ่ง ความยาวรวม 40.00 เมตร พร้อมขุดลอกฝายนาเค็งใต้ หมู่ที่ 6 ตำบลนายาง อำเภอสบปราบ จังหวัดลำปาง</t>
  </si>
  <si>
    <t xml:space="preserve">ก่อสร้างพนังป้องกันตลิ่งพัง บริเวณตลิ่งลำน้ำแม่ตาล หมู่ 7 บ้านห้วยเรียน ตำบลเวียงตาล อำเภอห้างฉัตร
- ก่อสร้างพนังป้องกันตลิ่งพัง บริเวณตลิ่งลำน้ำ แม่ตาล หมู่ที่ 7 บ้านห้วยเรียน  ตำบลเวียงตาล โดยการเรียงหินในกล่องGabion ขนาดกว้าง 2.00 ม. ยาว 110.00 ม. สูง 3.00 ม. พร้อมป้ายประชาสัมพันธ์โครงการ </t>
  </si>
  <si>
    <t>ก่อสร้างผนังกันตลิ่งพร้อมขุดลอกฝายนาเค็งเหนือลำห้วยแม่ยอง บ้านนาไม้แดง หมู่ที่ 6 ตำบลนายาง อำเภอสบปราบ จังหวัดลำปาง</t>
  </si>
  <si>
    <t>9/2560</t>
  </si>
  <si>
    <t>ก่อสร้างผนังกันตลิ่งพร้อมขุดลอกฝายทุ่งแล้งลำห้วยแม่ยอง บ้านนาไม้แดง หมู่ที่ 6 ตำบลนายาง อำเภอสบปราบ จังหวัดลำปาง</t>
  </si>
  <si>
    <t xml:space="preserve">ก่อสร้างรางระบายน้ำ คสล. บ้านทุ่งหลวง หมู่ 5 ตำบลเมืองยาว อำเภอห้างฉัตร จังหวัดลำปาง
งบลงทุน
</t>
  </si>
  <si>
    <t>ใช้เงินเหลือจ่าย</t>
  </si>
  <si>
    <t>รวม 9 กิจกรรม</t>
  </si>
  <si>
    <t>โครงการพัฒนาโครงสร้างพื้นฐานเพื่อการบริการประชาชนอย่างทั่วถึงมีมาตรฐานและมีประสิทธิภาพ ประเภทสะพาน</t>
  </si>
  <si>
    <t>ก่อสร้างสะพานข้ามลำน้ำแม่ยาว บ้านน้ำล้อม หมู่ที่ 1- บ้านหัวแต หมู่ที่ 2 ตำบลเกาะคา 
อำเภอเกาะคา จังหวัดลำปาง
งบลงทุน
 - ก่อสร้างสะพานคอนกรีตเสริมเหล็กข้ามลำน้ำแม่ยาว ขนาดกว้าง 5.00 เมตร ยาว 40.00 เมตร 
บ้านน้ำล้อม หมู่ที่ 1 - บ้านหัวแต หมู่ที่ 2 ตำบลเกาะคา อำเภอเกาะคา จังหวัดลำปาง</t>
  </si>
  <si>
    <t>โครงการพัฒนาโครงสร้างพื้นฐานเพื่อบริการประชาชนอย่างทั่วถึงมีมาตรฐานและมีประสิทธิภาพ ประเภทประปาหมู่บ้าน</t>
  </si>
  <si>
    <t>ก่อสร้างวางท่อส่งน้ำบ้านใหม่เตาปูน หมู่ที่ 8 ตำบลนาแส่ง อำเภอเกาะคา จังหวัดลำปาง
งบลงทุน
 - ก่อสร้างวางท่อส่งน้ำ ขนาดเส้นผ่าศูนย์กลาง 6 นิ้ว ความยาวรวม 625.00 เมตร หมู่ที่ 8 
ตำบลนาแส่ง อำเภอเกาะคา จังหวัดลำปาง</t>
  </si>
  <si>
    <t xml:space="preserve">กิจกรรมหลัก : พัฒนาการท่องเที่ยวและบริการ
โครงการส่งเสริมกิจกรรมการท่องเที่ยวเชิงสร้างสรรค์
</t>
  </si>
  <si>
    <t xml:space="preserve">งาน"สลุงหลวง กลองใหญ่ ปีใหม่เมืองนครลำปาง  
งบดำเนินงาน 
 - ค่าจ้างเหมาจัดงานสลุงหลวง กลองใหญ่ ปี๋ใหม่เมืองนครลำปาง 3,500,000 บาท
</t>
  </si>
  <si>
    <t>สำนักงานจังหวัดลำปาง</t>
  </si>
  <si>
    <t xml:space="preserve">งานรำลึกประวัติศาสตร์รถไฟ รถม้าลำปาง
งบดำเนินงาน
 - ค่าจ้างเหมาจัดงานรำลึกประวัติศาสตร์รถไฟ รถม้าลำปาง 1,400,000 บาท
</t>
  </si>
  <si>
    <t xml:space="preserve">งานสืบสานตำนานเจ้าพ่อทิพย์ช้าง วีรบุรุษเขลางค์นคร"  
งบดำเนินเงิน
 - ค่าจ้างเหมาจัดงานสืบสานตำนานพ่อเจ้าทิพย์ช้าง วีรบุรุษแห่งเขลางค์นคร  1,750,000 บาท
</t>
  </si>
  <si>
    <t>ท่องเที่ยวและกีฬาจังหวัดลำปาง</t>
  </si>
  <si>
    <t>งานมหัศจรรย์สีสันถนนสายวัฒนธรรมลำปาง 
งบดำเนินงาน
- กิจกรรมจัดประชุมสร้างความเข้าใจชุมชน จำนวน  ๘,๖๐๐ บาท
- กิจกรรมงาน “วิถีถิ่น วิถีไทยในนครลำปาง”  จำนวน ๔๙๑,๔๐๐ บาท</t>
  </si>
  <si>
    <t>รวม 4 กิจกรรม</t>
  </si>
  <si>
    <t>โครงการมหัศจรรย์ท่องเที่ยวลำปางส่งเสริมกลยุทธ์การตลาดอุตสาหกรรมการท่องเที่ยวลำปาง</t>
  </si>
  <si>
    <t>จัดคาราวานท่องเที่ยวของดีนครลำปาง
- ค่าตอบแทนคณะกรรมการ 6,300 บาท
- ค่าจ้างเหมาจัดงานคารวานท่องเที่ยวของดีนครลำปาง 1,950,000 บาท
- ค่าใช้จ่ายในการจัดประชุม 3,000 บาท
- ค่าวัสดุสำนักงาน 4,400 บาท
- วัสดุคอมพิวเตอร์ 30,000 บาท</t>
  </si>
  <si>
    <t>สำนักงานพาณิชย์จังหวัดลำปาง ร่วมกับสำนักงานการท่องเที่ยวและกีฬาจังหวัดลำปาง</t>
  </si>
  <si>
    <t>ใช้งบเหลือจ่าย</t>
  </si>
  <si>
    <t>จัดกิจกรรมส่งเสริมการตลาดไทยเที่ยวไทย
งบดำเนินการ
- จ้างเหมาประชาสัมพันธ์การท่องเที่ยวผ่านป้าย/สื่อประชาสัมพันธ์ ๕๐๐,๐๐๐  บาท
- จ้างเหมาประชาสัมพันธ์การท่องเที่ยวเพื่อพัฒนาจังหวัดลำปาง (ผ่านช่องโทรทัศน์) ๔๘๐,๐๐๐  บาท
- จัดประชุมคณะกรรมการ/คณะทำงาน ๑๐,๐๐๐  บาท
- ค่าตอบแทนคณะกรรมการร่าง TOR, กรรมการตรวจรับพัสดุ ๘,๐๐๐  บาท
- ค่าวัสดุสำนักงาน/โฆษณาเผยแพร่/คอมพิวเตอร์ ๑,๐๐๐  บาท
- ค่าวัสดุน้ำมันเชื้อเพลิง ๑,๐๐๐  บาท</t>
  </si>
  <si>
    <t>สำนักงานจังหวัดลำปาง ร่วมกับสำนักงานการท่องเที่ยวและกีฬาจังหวัดลำปาง</t>
  </si>
  <si>
    <t>รวม 2 กิจกรรม</t>
  </si>
  <si>
    <t xml:space="preserve">กิจกรรมหลัก : พัฒนาการตลาดการค้าและการลงทุน
โครงการพัฒนาศักยภาพและส่งเสริมการตลาดวิสาหกิจชุมชนและท้องถิ่น
</t>
  </si>
  <si>
    <t xml:space="preserve">พัฒนาศักยภาพผลิตภัณฑ์ OTOP ของดีนครลำปางสู่อาเซียน
- ค่าจ้างเหมาจัดแสดงสินค้า 1,628,700 บาท
- ค่าใช้จ่ายในการสัมมนาและฝึกอบรม (ประชาชนทั่วไป)  250,000 บาท 
</t>
  </si>
  <si>
    <t>สำนักงานพัฒนาชุมชน
จังหวัดลำปาง</t>
  </si>
  <si>
    <r>
      <t xml:space="preserve">โครงการพัฒนาศักยภาพการผลิตและการตลาดสินค้าชุมชนจังหวัดลำปาง
</t>
    </r>
    <r>
      <rPr>
        <b/>
        <sz val="16"/>
        <color rgb="FF000000"/>
        <rFont val="TH SarabunPSK"/>
        <family val="2"/>
      </rPr>
      <t>งบดำเนินงาน</t>
    </r>
    <r>
      <rPr>
        <sz val="16"/>
        <color rgb="FF000000"/>
        <rFont val="TH SarabunPSK"/>
        <family val="2"/>
      </rPr>
      <t xml:space="preserve">
- ค่าตอบแทน 34,800 บาท
- ค่าใช้สอย 1,385,200 บาท</t>
    </r>
  </si>
  <si>
    <t>สำนักงานพัฒนาชุมชนจังหวัดลำปาง</t>
  </si>
  <si>
    <r>
      <rPr>
        <b/>
        <sz val="16"/>
        <color theme="1"/>
        <rFont val="TH SarabunPSK"/>
        <family val="2"/>
      </rPr>
      <t>งบลงทุน</t>
    </r>
    <r>
      <rPr>
        <sz val="16"/>
        <color theme="1"/>
        <rFont val="TH SarabunPSK"/>
        <family val="2"/>
      </rPr>
      <t xml:space="preserve">
- ปรับปรุงตลาดนัดชุมชน ไทยช่วยไทย คนไทยยิ้มได้ กาดวังเงิน บ้านปงป่าเป้า หมู่ที่ 1 ตำบลวังเงิน อำเภอแม่ทะ</t>
    </r>
  </si>
  <si>
    <t>- ก่อสร้างตลาดนัดชุมชนบ้านศรีดอนมูล  หมู่ที่ 2 ตำบลแจ้ซ้อน อำเภอเมืองปาน</t>
  </si>
  <si>
    <t>- สร้างอาคารศูนย์เรียนรู้และขับเคลื่อนปรัชญาของเศรษฐกิจพอเพียง พร้อมลานอเนก ประสงค์ คสล. ลานค้าชุมชนเกาะคา หมู่ที่ 2  ตำบลศาลา อำเภอเกาะคา</t>
  </si>
  <si>
    <t>จำนวน 1 กิจกรรม</t>
  </si>
  <si>
    <t>กิจกรรมหลัก : สร้างโอกาสเพิ่มรายได้
โครงการลำปางเมืองเซรามิก</t>
  </si>
  <si>
    <t xml:space="preserve">การเสริมสร้างศักยภาพแรงงานนอกระบบเพื่อเพิ่มโอกาสมีงานทำและมีรายได้รองรับประชาคมอาเซียน
งบดำเนินงาน
- ค่าใช้จ่ายในการสัมมนาและฝึกอบรม (ประชาชนทั่วไป) 1,250,000 บาท
</t>
  </si>
  <si>
    <t>สถาบันพัฒนาฝีมือแรงงาน 
ภาค 10 ลำปาง</t>
  </si>
  <si>
    <t xml:space="preserve">ศึกษาและออกแบบห้องอบแห้งจากความร้อนเหลือทิ้งในกระบวนการผลิตเซรามิก
งบรายจ่ายอื่น
- ค่าจ้างที่ปรึกษาศึกษาและออกแบบห้องอบแห้งจากความร้อนเหลือทิ้งในกระบวนการผลิตเซรามิก 1,500,000 บาท
</t>
  </si>
  <si>
    <t>สำนักงานพลังงานจังหวัดลำปาง</t>
  </si>
  <si>
    <t xml:space="preserve">การจัดงานเซรามิกแฟร์
งบดำเนินงาน
- ค่าจ้างเหมาจัดแสดงสินค้า 5,000,000 บาท
</t>
  </si>
  <si>
    <t>สำนักงานจังหวัดลำปาง ร่วมกับสำนักงานอุตสาหกรรมจังหวัดลำปาง และสำนักงานพาณิชย์จังหวัดลำปาง</t>
  </si>
  <si>
    <r>
      <t xml:space="preserve">การพัฒนาคุณภาพและพัฒนารูปแบบเซรามิกเพื่อเพิ่มมูลค่าสินค้า
</t>
    </r>
    <r>
      <rPr>
        <b/>
        <sz val="16"/>
        <rFont val="TH SarabunPSK"/>
        <family val="2"/>
      </rPr>
      <t>งบดำเนินงาน</t>
    </r>
    <r>
      <rPr>
        <sz val="16"/>
        <rFont val="TH SarabunPSK"/>
        <family val="2"/>
      </rPr>
      <t xml:space="preserve">
- ค่าตอบแทนการปฏิบัติงานนอกเวลาราชการ 200 บาท x 5 คน x 10 วัน  10,000  บาท
- ค่าใช้สอยค่าเบี้ยเลี้ยง 240 บาท x  5 คน x 10 วัน      12,000  บาท
- ค่าใช้สอยค่าพาหนะ 12,000  บาท
- ค่าคอมพิวเตอร์ 20,000  บาท
- ค่าวัสดุสำนักงาน 18,000  บาท
- ค่าวัสดุน้ำมันเชื้อเพลิง 30,000  บาท
</t>
    </r>
    <r>
      <rPr>
        <b/>
        <sz val="16"/>
        <rFont val="TH SarabunPSK"/>
        <family val="2"/>
      </rPr>
      <t>งบรายจ่ายอื่น</t>
    </r>
    <r>
      <rPr>
        <sz val="16"/>
        <rFont val="TH SarabunPSK"/>
        <family val="2"/>
      </rPr>
      <t xml:space="preserve">
- จ้างที่ปรึกษาพัฒนาคุณภาพและพัฒนารูปแบบเซรามิกเพื่อเพิ่มมูลค่าสินค้า (900,000)</t>
    </r>
  </si>
  <si>
    <t>สำนักงานอุตสาหกรรมจังหวัดลำปาง</t>
  </si>
  <si>
    <t>โครงการส่งเสริมพัฒนาและยกระดับสินค้าเกษตรปลอดภัยได้มาตรฐาน
แบบครบวงจร</t>
  </si>
  <si>
    <t xml:space="preserve">ส่งเสริมและพัฒนาการทำการเกษตรในรูปแบบแปลงใหญ่
งบดำเนินงาน
- ค่าตอบแทนวิทยากร 198,000 บาท
- ค่าวัสดุการเกษตร 2,499,800 บาท
- ค่าจ้างเหมาพัฒนาผลิตภัณฑ์สินค้าเกษตร 1,881,000 บาท
- ค่าจ้างเหมาจัดทำเอกสาร 200,000 บาท
- ค่าใช้จ่ายในการสัมมนาและฝึกอบรม (ประชาชนทั่วไป) 1,180,400 บาท
- ค่าพาหนะเดินทางในประเทศ 39,500 บาท
- ค่าเช่าที่พักระหว่างเดินทางในประเทศ 40,000 บาท
งบลงทุน : ครุภัณฑ์
- เครื่องผสมปุ๋ย ขนาดความจุถังป้อน 100 – 150 กิโลกรัม (6 เครื่อง) 300,000 บาท 
</t>
  </si>
  <si>
    <t>สำนักงานเกษตรจังหวัดลำปาง</t>
  </si>
  <si>
    <t xml:space="preserve">ส่งเสริมการการผลิตสับปะรดนอกฤดูให้ปลอดภัยและมาตรฐาน
งบดำเนินงาน
- ค่าตอบแทนวิทยากร 26,400 บาท
- ค่าวัสดุการเกษตร 250,000 บาท
- ค่าใช้จ่ายในการสัมมนาและฝึกอบรม (ประชาชนทั่วไป) 85,400 บาท
- ค่าพาหนะเดินทางในประเทศ 12,600 บาท
- ค่าเช่าที่พักระหว่างเดินทางในประเทศ 43,000 บาท
- ค่าเบี้ยเลี้ยงเดินทางในประเทศ 20,000 บาท  
</t>
  </si>
  <si>
    <t xml:space="preserve">บูรณาการองค์ความรู้ด้านวิทยาศาสตร์ เทคโนโลยี และนวัตกรรมเพื่อส่งเสริมและพัฒนาศักยภาพ
ของกลุ่มเกษตรผู้ปลูกสับปะรดจังหวัดลำปาง
งบดำเนินงาน
- ค่าตอบแทนวิทยากร 200,000 บาท
- ค่าวัสดุสำนักงาน 55,000 บาท
- ค่าวัสดุการเกษตร 90,000 บาท
- จ้างเหมาพัฒนาผลิตภัณฑ์สินค้าเกษตร 100,000 บาท
- ค่าใช้จ่ายในการสัมมนาและฝึกอบรม (ประชาชนทั่วไป) 995,300 บาท
</t>
  </si>
  <si>
    <t>สำนักงานสหกรณ์จังหวัดลำปาง</t>
  </si>
  <si>
    <t xml:space="preserve">ส่งเสริมและพัฒนาประสิทธิภาพการเลี้ยงครั่งจังหวัดลำปาง
งบดำเนินงาน
- ค่าตอบแทนวิทยากร 24,000 บาท
- ค่าวัสดุการเกษตร 834,200 บาท
- ค่าจ้างเหมาจัดทำอุปกรณ์เพื่อการฝึกอบรม 68,000 บาท
- ค่าใช้จ่ายในการสัมมนาและฝึกอบรม (ประชาชนทั่วไป) 188,600 บาท
- ค่าเบี้ยเลี้ยงเดินทางในประเทศ 58,400 บาท
</t>
  </si>
  <si>
    <t xml:space="preserve">ส่งเสริมและพัฒนาการผลิตน้ำนมโคคุณภาพสูงด้วยเครื่องผสมอาหารครบส่วน TMR 
งบดำเนินงาน
- ค่าตอบแทนวิทยากร 10,800 บาท
- ค่าวัสดุการเกษตร 520,000 บาท
- ค่าใช้จ่ายในการสัมมนาและฝึกอบรม (ประชาชนทั่วไป) 532,800 บาท
</t>
  </si>
  <si>
    <t>สำนักงานปศุสัตว์จังหวัดลำปาง</t>
  </si>
  <si>
    <t xml:space="preserve">เพิ่มประสิทธิภาพการเลี้ยงปลานิลแบบครบวงจร
งบดำเนินงาน
- ค่าตอบแทนวิทยากร 21,600 บาท
- ค่าวัสดุการเกษตร  448,000 บาท
- ค่าจ้างเหมาจัดทำอุปกรณ์เพื่อการฝึกอบรม 12,000 บาท
- ค่าใช้จ่ายในการสัมมนาและฝึกอบรม (ประชาชนทั่วไป) 20,400 บาท  
</t>
  </si>
  <si>
    <t>สำนักงานประมงจังหวัดลำปาง</t>
  </si>
  <si>
    <t xml:space="preserve">สร้างการรับรู้เกษตรเชิงรุก ในการเข้าสู่ประชาคมอาเซียน
งบดำเนินงาน
- ค่าจ้างเหมาจัดแสดงสินค้า 2,180,800 บาท
</t>
  </si>
  <si>
    <t>สำนักงานเกษตรและสหกรณ์จังหวัดลำปาง</t>
  </si>
  <si>
    <t xml:space="preserve">เพิ่มศักยภาพเครือข่ายการผลิตและการตลาดสับปะรดคุณภาพ 
งบลงทุน : ครุภัณฑ์
- เครื่องวัดค่าความหวานระบบดิจิตอล  (1 เครื่อง) 12,000 บาท
- ตู้อบแห้งระบบลมร้อนแบบ 1 ประตู ขนาด 12 ถาด (1 เครื่อง) 360,000 บาท 
- เครื่องบีบน้ำสับปะรด มอเตอร์ขนาด 3 HP (1 เครื่อง) 130,000 บาท 
- เครื่องกวนสับปะรด แบบ 2 ชั้น ขนาด 100 ลิตร (1 เครื่อง) 170,000 บาท 
งบลงทุน : สิ่งก่อสร้าง
-  ก่อสร้างลานคอนกรีตเสริมเหล็กรวบรวมสับปะรดพร้อมรางระบายน้ำ 
ตำบลบ้านเสด็จ อำเภอเมืองลำปาง จังหวัดลำปาง 1,500,000 บาท
</t>
  </si>
  <si>
    <t>ส่งเสริมและพัฒนา การผลิตน้ำนมโคนมคุณภาพสูงด้วยเครื่องผสมอาหารครบส่วน TMR 
งบลงทุน : รายการครุภัณฑ์</t>
  </si>
  <si>
    <t>- เครื่องผสมอาหาร (TMR) ขนาดไม่น้อยกว่า 9 ลูกบาศก์เมตร แบบแนวตั้ง ชนิดติดท้ายรถแทรกเตอร์เป็นเงิน จำนวน 1 เครื่อง</t>
  </si>
  <si>
    <t xml:space="preserve">- รถฟาร์มแทรกเตอร์ ขนาด 85 แรงม้า พร้อมบุ้งกี๋ จำนวน 1 คัน </t>
  </si>
  <si>
    <t xml:space="preserve">- เครื่องหั่นหญ้า จำนวน  1  เครื่อง  </t>
  </si>
  <si>
    <t>โครงการส่งเสริมการปลูกไผ่เศรษฐกิจทดแทนพื้นที่การปลูกข้าวและข้าวโพดเลี้ยงสัตว์ที่ไม่เหมาะสมกับจังหวัดลำปาง 
งบดำเนินงาน
- ค่าตอบแทน 27,600 บาท
- ค่าใช้สอย  372,600  บาท
- ค่าวัสดุ  3,549,800  บาท</t>
  </si>
  <si>
    <t>โครงการ Business Matching จับคู่ธุรกิจสินค้าเกษตรจังหวัดลำปาง 
งบดำเนินงาน
- ค่าตอบแทน  6,000 บาท
- ค่าใช้สอย 639,600  บาท
- ค่าวัสดุ  70,000  บาท</t>
  </si>
  <si>
    <r>
      <t xml:space="preserve">โครงการส่งเสริมและพัฒนาการผลิตโคเนื้อเสริมสร้างความเข้มแข็งกลุ่มผู้เลี้ยงโคเนื้อจังหวัดลำปาง
</t>
    </r>
    <r>
      <rPr>
        <b/>
        <sz val="16"/>
        <rFont val="TH SarabunPSK"/>
        <family val="2"/>
      </rPr>
      <t>งบดำเนินงาน</t>
    </r>
    <r>
      <rPr>
        <sz val="16"/>
        <rFont val="TH SarabunPSK"/>
        <family val="2"/>
      </rPr>
      <t xml:space="preserve">
- ค่าตอบแทน  (9,600 บาท)
- ค่าใช้สอย  (604,000 บาท)
- ค่าวัสดุ   (553,800 บาท)</t>
    </r>
  </si>
  <si>
    <t xml:space="preserve">สำนักงานปศุสัตว์จังหวัดลำปาง </t>
  </si>
  <si>
    <t>งบลงทุน</t>
  </si>
  <si>
    <t>- เครื่องสับหั่นหญ้า ( 20 เครื่องๆละ 30,000 บาท)</t>
  </si>
  <si>
    <t>- เครื่องอัดฟางฟ่อน (2 เครื่องๆละ 360,000 บาท)</t>
  </si>
  <si>
    <t>- เชือกมันฟางฟ่อน (2 ม้วนๆละ 10,000)</t>
  </si>
  <si>
    <r>
      <t xml:space="preserve">โครงการปรับเปลี่ยนโครงสร้างอาชีพทางการเกษตร
งบดำเนินงาน
</t>
    </r>
    <r>
      <rPr>
        <sz val="16"/>
        <rFont val="TH SarabunPSK"/>
        <family val="2"/>
      </rPr>
      <t>- ค่าตอบแทน (21,600 บาท)
- ค่าใช้สอย (69,000 บาท )
- ค่าวัสดุ (372,000 บาท)</t>
    </r>
  </si>
  <si>
    <t>ผลผลิต : การพัฒนาสังคม</t>
  </si>
  <si>
    <t xml:space="preserve">11
</t>
  </si>
  <si>
    <t>โครงการพัฒนาระบบบริการทางการแพทย์และสาธารณสุขให้มีคุณภาพ</t>
  </si>
  <si>
    <t xml:space="preserve">พัฒนาศักยภาพศูนย์โรคหัวใจและหลอดเลือด : หน่วยตรวจสวนหัวใจและหลอดเลือดโรงพยาบาลลำปาง ระยะที่ 3
งบลงทุน : ครุภัณฑ์
 - เครื่องเอกซเรย์หลอดเลือดระนาบเดี่ยว (1 เครื่อง) 25,000,000 บาท
 - เครื่องตรวจสรีรวิทยาไฟฟ้าในหัวใจ (1 เครื่อง) 25,000,000 บาท
 - เครื่องตรวจหัวใจด้วยคลื่นเสียงสะท้อนความถี่สูงผ่านหลอดอาหาร
แบบสร้างภาพ 3 มิติ (1 เครื่อง) 7,000,000 บาท
</t>
  </si>
  <si>
    <t>โรงพยาบาลลำปาง</t>
  </si>
  <si>
    <t>113/2560</t>
  </si>
  <si>
    <t>เครื่องตรวจสรีรวิทยาไฟฟ้า</t>
  </si>
  <si>
    <t xml:space="preserve">รณรงค์ป้องกันและแก้ไขปัญหายาเสพติด TO BE NUMBER ONE จังหวัดลำปาง ปีงบประมาณ 2560
งบดำเนินงาน
- ค่าตอบแทนวิทยากรสัมมนาและฝึกอบรม 56,000 บาท
- ค่าวัสดุสำนักงาน 85,000 บาท
- วัสดุเชื้อเพลิงและหล่อลื่น 6,000 บาท
- ค่าตอบแทนผู้ปฏิบัติงานให้ทางราชการ 100,000 บาท
- ค่าจ้างเหมาจัดทำอุปกรณ์เพื่อการฝึกอบรม 4,500 บาท
- ค่าจ้างเหมาจัดแสดงนิทรรศการ 707,500 บาท
- ค่าจ้างเหมาจัดทำสื่อประชาสัมพันธ์ 73,000 บาท
- ค่าใช้จ่ายในการสัมมนาและฝึกอบรม (ประชาชนทั่วไป) 291,000 บาท
- ค่าพาหนะเดินทางในประเทศ 422,000 บาท
- ค่าเช่าที่พักระหว่างเดินทางในประเทศ 253,000 บาท
-ค่าเบี้ยเลี้ยงเดินทางในประเทศ 336,300 บาท
</t>
  </si>
  <si>
    <t>สำนักงานสาธารณสุขจังหวัดลำปาง</t>
  </si>
  <si>
    <t>โครงการพัฒนาระบบบริการทางสังคมให้มีคุณภาพ ทั่วถึง ถ้วนหน้า</t>
  </si>
  <si>
    <t>ก่อสร้างลานกีฬาสวนสาธารณะเวียงละกอน
งบลงทุน
 - ก่อสร้างสนามกีฬาอาคารอเนกประสงค์ ขนาดกว้าง 20.00 เมตร ยาว 30.00 เมตร 
สวนสาธารณะเวียงละคอร ตำบลพระบาท อำเภอเมืองลำปาง จังหวัดลำปาง</t>
  </si>
  <si>
    <t>สำนักงานการท่องเที่ยวและกีฬา
จังหวัดลำปาง 
ที่ทำการปกครองอำเภอเมืองลำปาง</t>
  </si>
  <si>
    <t>โครงการขับเคลื่อนแผนพัฒนาชนบทเชิงพื้นที่ประยุกต์ตามแนวพระราชดำริและการดำเนินงาน
ตามปรัชญาเศรษฐกิจพอเพียงจังหวัดลำปาง</t>
  </si>
  <si>
    <t>ศูนย์เรียนรู้พื้นที่ขยายผลตามแนวทางปิดทองหลังพระสืบสานแนวทางพระราชดำริจังหวัดลำปาง 
หมู่ที่ 1 ตำบลทุ่งกว๋าว อำเภอเมืองปาน จังหวัดลำปาง 
งบลงทุน
 - ก่อสร้างอาคารศูนย์เรียนรู้บ้านถ่ำ ขนาดกว้าง 16.50 เมตร ยาว 28.00 เมตร สูง 4.00 เมตร 
หมู่ที่ 1 ตำบลทุ่งกว๋าว อำเภอเมืองปาน จังหวัดลำปาง</t>
  </si>
  <si>
    <t>ขับเคลื่อนแผนพัฒนาชนบทเชิงพื้นที่ประยุกต์ตามแนวพระราชดำริและการดำเนินงานตามปรัชญาเศรษฐกิจพอเพียงจังหวัดลำปาง
งบดำเนินงาน
- ค่าตอบแทน  300,000 บาท
- ค่าใช้สอย 1,500,000 บาท
- ค่าวัสดุ  200,000 บาท</t>
  </si>
  <si>
    <t>ผลผลิต : การบริหารจัดการด้านทรัพยากรธรรมชาติและสิ่งแวดล้อมการบริหารจัดการด้านทรัพยากรธรรมชาติและสิ่งแวดล้อม</t>
  </si>
  <si>
    <t xml:space="preserve">14
</t>
  </si>
  <si>
    <t>โครงการรักษาฐานทรัพยากรให้มีความอุดมสมบูรณ์</t>
  </si>
  <si>
    <t xml:space="preserve">กิจกรรมแก้ไขปัญหาหมอกควันและไฟป่า
งบดำเนินงาน
- ค่าวัสดุสำนักงาน 46,000 บาท
- วัสดุเชื้อเพลิงและหล่อลื่น 700,000 บาท
- ค่าจ้างเหมาจัดทำสื่อประชาสัมพันธ์ 100,000 บาท
- ค่าจ้างเหมาจัดทำแนวป้องกันไฟป่า 1,000,000 บาท
- ค่าใช้จ่ายในการสัมมนาและฝึกอบรม (ประชาชนทั่วไป) 3,170,000 บาท
- ค่าเบี้ยเลี้ยงเดินทางในประเทศ 19,500 บาท
</t>
  </si>
  <si>
    <t>สำนักงานทรัพยากรธรรมชาติ
และสิ่งแวดล้อมจังหวัดลำปาง</t>
  </si>
  <si>
    <t>โครงการส่งเสริมอนุรักษ์และฟื้นฟูทรัพยากรธรรมชาติและสิ่งแวดล้อม</t>
  </si>
  <si>
    <t>ฝายฟื้นน้ำ ป่าฟื้นดิน เศรษฐกิจมั่งคั่ง ยั่งยืน
งบดำเนินงาน
- ค่าวัสดุ 464,800 บาท
- ค่าใช้สอย 350,600 บาท</t>
  </si>
  <si>
    <t>สำนักบริหารพื้นที่อนุรักษที่ 13 (สาขาลำปาง)</t>
  </si>
  <si>
    <t>ฟื้นฟูทรัพยากรธรรมชาติและสิ่งแวดล้อมโดยคนอยู่กับป่า 
งบดำเนินงาน
- ค่าใช้สอย 390,000 บาท
- ค่าวัสดุ 110,000 บาท</t>
  </si>
  <si>
    <t>สำนักจัดการทรัพยากรป่าไม้ที่ 3 (ลำปาง)</t>
  </si>
  <si>
    <t>ไม้หมายเมืองเล่าเรื่องเมืองลำปาง
งบลงทุน</t>
  </si>
  <si>
    <t>รวม 3 กิจกรรม</t>
  </si>
  <si>
    <t>กิจกรรมหลัก : ส่งเสริมให้มีการบริหารจัดการน้ำ
โครงการปรับปรุงและพัฒนาโครงสร้างพื้นฐานเทคโนโลยีการผลิตและสิ่งอำนวยความสะดวก
ด้วยนวัตกรรมใหม่ที่เหมาะสม</t>
  </si>
  <si>
    <t>ก่อสร้างทำนบดินลำห้วยอุมลองหลวง บ้านอุมลอง หมู่ที่ 4 ตำบลสมัย อำเภอสบปราบ จังหวัดลำปาง
งบลงทุน
 - ก่อสร้างทำนบดินลำห้วยอุมลองหลวง สันฝายกว้าง 10.00 เมตร ยาว 50.00 เมตร สูง 10.00 เมตร 
บ้านอุมลอง หมู่ที่ 4 ตำบลสมัย อำเภอสบปราบ จังหวัดลำปาง  (1,961,000)</t>
  </si>
  <si>
    <t>ขอยกเลิกโครงการ 
อยู่ในพื้นที่ป่า</t>
  </si>
  <si>
    <t>ก่อสร้างฝายน้ำล้น หมู่ที่ 3 บ้านหลิ่งก้าน ตำบลหนองหล่ม อำเภอห้างฉัตร จังหวัดลำปาง
งบลงทุน
 - ก่อสร้างฝายน้ำล้นคอนกรีตเสริมเหล็ก ขนาดยาว 26.00 เมตร สูง 1.50 เมตร หมู่ที่ 3 บ้านหลิ่งก้าน ตำบลหนองหล่ม อำเภอห้างฉัตร จังหวัดลำปาง</t>
  </si>
  <si>
    <t>ซ่อมแซมทำนบ คสล.พร้อมถนนเลียบลำห้วยแม่ไพร หมู่ที่ 7 ตำบลวอแก้ว อำเภอห้างฉัตร จังหวัดลำปาง
งบลงทุน
 - ซ่อมแซมทำนบคอนกรีตเสริมเหล็ก ขนาดกว้าง 6.00 เมตร ยาว 10.00 เมตร สูง 2.00 เมตร 
พร้อมถมดินถนนเลียบลำห้วยแม่ไพร หมู่ที่ 7 ตำบลวอแก้ว อำเภอห้างฉัตร จังหวัดลำปาง</t>
  </si>
  <si>
    <t>บริหารจัดการแหล่งน้ำสาธารณะเพื่อเพิ่มผลผลิตสัตว์น้ำโดยชุมชนแบบมีส่วนร่วม
งบดำเนินงาน
- ค่าตอบแทนวิทยากรสัมมนาและฝึกอบรม 18,000 บาท
- ค่าวัสดุการเกษตร 23,500 บาท
- ค่าใช้จ่ายในการสัมมนาและฝึกอบรม (ประชาชนทั่วไป) 438,500 บาท</t>
  </si>
  <si>
    <t>ก่อสร้างฝายคอนกรีตเสริมเหล็ก (ทุ่งขะนี้) บ้านเหล่ายาว หมู่ที่ 4 ตำบลเสริมกลาง อำเภอเสริมงาม จังหวัดลำปาง
งบลงทุน
 - ก่อสร้างฝายคอนกรีตเสริมเหล็ก สันฝายสูง 1.40 เมตร ยาว 24.00 เมตร บ้านเหล่ายาว หมู่ที่ 4 ตำบลเสริมกลาง อำเภอเสริมงาม จังหวัดลำปาง</t>
  </si>
  <si>
    <t>ก่อสร้างดาดลำเหมืองทุ่งตึง หมู่ที่ 10 บ้านทุ่งคาใต้ ตำบลแม่สุก อำเภอแจ้ห่ม จังหวัดลำปาง
งบลงทุน
 -  ก่อสร้างดาดลำเหมืองคอนกรีตเสริมเหล็ก ความยาวรวม 1,680.00 เมตร หมู่ที่ 10 ตำบลแม่สุก อำเภอแจ้ห่ม จังหวัดลำปาง</t>
  </si>
  <si>
    <t>ขุดลอกลำห้วยแม่ตาก บ้านทุ่งผึ้ง หมู่ 4 ตำบลทุ่งผึ้ง อำเภอแจ้ห่ม จังหวัดลำปาง
งบลงทุน
 - ขุดลอกลำห้วยแม่ตาก ความยาวรวม 3.650 กิโลเมตร บ้านทุ่งผึ้ง หมู่ที่ 4 
ตำบลทุ่งผึ้ง อำเภอแจ้ห่ม จังหวัดลำปาง</t>
  </si>
  <si>
    <t xml:space="preserve">ก่อสร้างดาดลำเหมืองทุ่งตึง บ้านแม่สุกสามัคคี หมู่ที่ 12 ตำบลแม่สุก อำเภอแจ้ห่ม จังหวัดลำปาง 
งบลงทุน
 -  ก่อสร้างดาดลำเหมืองคอนกรีตเสริมเหล็ก ความยาวรวม 680.00 เมตร หมู่ที่ 12 ตำบลแม่สุก อำเภอแจ้ห่ม จังหวัดลำปาง </t>
  </si>
  <si>
    <t>ขยายท่อส่งน้ำสถานีด้วยไฟฟ้าบ้านดอนแก้ว หมู่ที่ 10 ตำบลเถินบุรี ไปสู่ฝายหลวง บ้านป่าตาล หมู่ที 2 ตำบลเถินบุรี อำเภอเถิน จังหวัดลำปาง
งบลงทุน
 -  ขยายท่อส่งน้ำสถานีไฟฟ้าบ้านดอนแก้ว ความยาวรวม 1,000.00 เมตร หมู่ที่ 10 ตำบลเถินบุรี 
ไปสู่ฝายหลวง บ้านป่าตาล หมู่ที่ 2 ตำบลเถินบุรี อำเภอเถิน จังหวัดลำปาง</t>
  </si>
  <si>
    <t>3/2560</t>
  </si>
  <si>
    <t>591205014167</t>
  </si>
  <si>
    <t>ก่อสร้างฝายน้ำล้น คสล.บ้านสัก หมู่ที่ 3 ตำบลบ้านเอื้อม อำเภอเมืองลำปาง จังหวัดลำปาง
งบลงทุน
 - ก่อสร้างฝายน้ำล้นคอนกรีตเสริมเหล็ก สันฝายกว้าง 28.00 เมตร สูง 1.50 เมตร หมู่ที่ 3 
ตำบลบ้านเอื้อม อำเภอเมืองลำปาง จังหวัดลำปาง</t>
  </si>
  <si>
    <t>ก่อสร้างดาดลำเหมือง คสล.ทุ่งโป่ง หมู่ที่ 7 ตำบลวังแก้ว อำเภอวังเหนือ จังหวัดลำปาง
งบลงทุน
 - ก่อสร้างดาดลำเหมืองคอนกรีตเสริมเหล็ก ขนาดกว้าง 1.50 เมตร 
ยาว 320.00 เมตร หมู่ที่ 7 ตำบลวังแก้ว อำเภอวังเหนือ จังหวัดลำปาง</t>
  </si>
  <si>
    <t>ก่อสร้างทำนบดินห้วยโป่ง บ้านทุ่งฮี   หมู่ที่ 1 ตำบลวังทรายคำ อำเภอวังเหนือ จังหวัดลำปาง
งบลงทุน
 - ก่อสร้างทำนบดินห้วยโป่ง สันทำนบกว้าง 8.00 เมตร ยาว 80.00 เมตร หมู่ที่ 1 ตำบลวังทรายคำ อำเภอวังเหนือ จังหวัดลำปาง</t>
  </si>
  <si>
    <t>ขอยกเลิกโครงการ ได้รับจัดสรรจากแหล่งอื่นแล้ว</t>
  </si>
  <si>
    <t>ก่อสร้างรางน้ำรูปตัวยูเพื่อผันน้ำเข้าสู่พื้นที่ทำการเกษตร (ทุ่งบ้าน) หมู่ที 2 ตำบลผาปัง อำเภอแม่พริก จังหวัดลำปาง
งบลงทุน
 - ก่อสร้างรางน้ำคอนกรีตเสริมเหล็กเพื่อผันน้ำเข้าสู่พื้นที่ทำการเกษตร ความยาวรวม 343.00 เมตร หมู่ที่ 2 ตำบลผาปัง อำเภอแม่พริก จังหวัดลำปาง</t>
  </si>
  <si>
    <t>เจาะบ่อบาดาลเพื่อการเกษตร หมู่ที่ 1 - หมู่ที่ 7 ตำบลวังใต้ อำเภอวังเหนือ จังหวัดลำปาง
งบลงทุน
 - เจาะบ่อบาดาลเพื่อการเกษตร เส้นผ่าศูนย์กลาง 4 นิ้ว ความลึกไม่น้อยกว่า 42.50 เมตร 
หมู่ที่ 1 - หมู่ที่ 7 ตำบลวังใต้ อำเภอวังเหนือ จังหวัดลำปาง</t>
  </si>
  <si>
    <t>ก่อสร้างพนังลำเหมืองทุ่งกว๋าว หมู่ที่ 2 ตำบลทุ่งกว๋าว กว้าง 1.525 เมตร สูง 1.50 เมตร ยาว 500 เมตร อำเภอเมืองปาน จังหวัดลำปาง 
งบลงทุน
 - ก่อสร้างผนังคอนกรีตเสริมเหล็กลำเหมืองทุ่งกว๋าว ความยาวรวม 500.00 เมตร หมู่ที่ 2 ตำบลทุ่งกว๋าว อำเภอเมืองปาน จังหวัดลำปาง</t>
  </si>
  <si>
    <t>ปรับปรุงซ่อมแซมดาดลำเหมืองส่งน้ำบ้านดอนแก้ว หมู่ที่ 10 ตำบลเถินบุรี อำเภอเถิน จังหวัดลำปาง
งบลงทุน
 -  ปรับปรุงซ่อมแซมดาดลำเหมือง ความยาวรวม 850.00 เมตร หมู่ที่ 10 ตำบลเถินบุรี อำเภอเถิน จังหวัดลำปาง</t>
  </si>
  <si>
    <t>ขุดลอกห้วยแม่ตั๋งพร้อมปรับปรุงประตูระบายน้ำ หมู่ที่ 3 ตำบลพระบาทวังตวง อำเภอแม่พริก 
จังหวัดลำปาง
งบลงทุน
 - ขุดลอกลำห้วยแม่ตั๋งพร้อมปรับปรุงประตูระบายน้ำ ปริมาตรดินขุดไม่น้อยกว่า 11,100 ลูกบาศก์เมตร หมู่ที่ 3 ตำบลพระบาทวังตวง อำเภอแม่พริก จังหวัดลำปาง</t>
  </si>
  <si>
    <t>ก่อสร้างคลองส่งน้ำฝายสบนึง บ้านทุ่งกว๋าว หมู่ 5,12 ขนาดกว้าง 2.50 เมตร ยาว 1,000 เมตร 
สูง 1.20 เมตร อำเภอเมืองปาน จังหวัดลำปาง
งบลงทุน
 -  ก่อสร้างคลองส่งน้ำคอนกรีตเสริมเหล็ก ขนาดกว้าง 2.50 เมตร ยาว 1,000.00 เมตร 
หมู่ที่ 5 - หมู่ที่ 12 ตำบลทุ่งกว๋าว อำเภอเมืองปาน จังหวัดลำปาง</t>
  </si>
  <si>
    <t>ก่อสร้างพนังลำเหมืองทุ่งกว๋าว หมู่ที่ 10 ตำบลทุ่งกว๋าว ขนาดกว้าง 
1.525 เมตร สูง 1.50 เมตร ยาว 450 เมตร อำเภอเมืองปาน จังหวัดลำปาง 
งบลงทุน 
 - ก่อสร้างผนังคอนกรีตเสริมเหล็กลำเหมืองทุ่งกว๋าว ความยาวรวม 450.00 เมตร หมู่ที่ 10 ตำบลทุ่งกว๋าว อำเภอเมืองปาน จังหวัดลำปาง</t>
  </si>
  <si>
    <t>ก่อสร้างพนังลำเหมืองห้วยเฮี้ย หมู่ที่ 6 ตำบลทุ่งกว๋าว ขนาดฐานกว้าง 1.525 เมตร สูง 1.50 เมตร 
ยาว 500 เมตร อำเภอเมืองปาน จังหวัดลำปาง
งบลงทุน
 - ก่อสร้างผนังคอนกรีตเสริมเหล็กลำเหมืองห้วยเฮี้ย ความยาวรวม 500.00 เมตร หมู่ที่ 6 
ตำบลทุ่งกว๋าว อำเภอเมืองปาน จังหวัดลำปาง</t>
  </si>
  <si>
    <t>ก่อสร้างท่อหลอดเหลี่ยม คสล. บ้านเมืองตึงเหนือ ม.2 ต.วังทอง
งบลงทุน
- ก่อสร้างท่อลอดเหลี่ยมคอนกรีตเสริมเหล็ก ชนิด 1 ช่องลอด ขนาดกว้าง 3 เมตร สูง 1.80 เมตร 
ยาว 6 เมตร</t>
  </si>
  <si>
    <t>ทดแทนโครงการที่ขอยกเลิก</t>
  </si>
  <si>
    <t>ก่อสร้างฝายน้ำล้นด้วยการวางกล่องแกเบียน (GABION) บริเวณฝายทุ่งในบ้านปางม่วง หมู่ที่ 9 ตำบลห้างฉัตร อำเภอห้างฉัตร จังหวัดลำปาง</t>
  </si>
  <si>
    <t>ใช้เงินเหลือจ่ายมาดำเนินโครงการ</t>
  </si>
  <si>
    <t>วางกล่อง GABION ป้องกันตลิ่งพัง ลำน้ำแม่ยาว บ้านเวียงเหนือ หมู่ที่ 1 ตำบลเมืองยาว อำเภอห้างฉัตร จังหวัดลำปาง</t>
  </si>
  <si>
    <t>ก่อสร้างดาดลำเหมืองห้วยก่ำ บ้านปางดะ หมู่ที่ 7 ตำบลบ้านขอ</t>
  </si>
  <si>
    <t>ก่อสร้างดาดลำเหมืองคอนกรีตเสริมเหล็กแม่ตวม หมู่ที่ 3 ตำบลวังแก้ว อำเภอวังเหนือ จังหวัดลำปาง
งบลงทุน
- ก่อสร้างดาดลำเหมือง คสล. ลำเหมืองแม่ตวม หมู่ที่ 3 ตำบลวังแก้ว ขนาดกว้าง  0.50 เมตร 
สูง 0.50 เมตร ยาว 309 เมตร หนา 0.10 เมตร</t>
  </si>
  <si>
    <t>29/2560</t>
  </si>
  <si>
    <t>600405010408</t>
  </si>
  <si>
    <t xml:space="preserve">ก่อสร้างดาดลำเหมือง คสล.ลำเหมืองร่องแหย่ง หมู่ที่ 6 ตำบลวังแก้ว อำเภอวังเหนือ จังหวัดลำปาง  
งบลงทุน
</t>
  </si>
  <si>
    <t>ที่ทำการปกครองอำภอวังเหนือ</t>
  </si>
  <si>
    <t>รวม 24 กิจกรรม</t>
  </si>
  <si>
    <t>ผลผลิต : การรักษาความมั่นคงและความสงบ</t>
  </si>
  <si>
    <t>โครงการปลูกจิตสำนึกการเคารพเทิดทูนสถาบันการสร้างความสามัคคีปรองดองและส่งเสริมการปฏิบัติตามค่านิยมหลัก 12 ประการ</t>
  </si>
  <si>
    <t xml:space="preserve">สร้างความรู้ความเข้าใจปลูกฝังเกี่ยวกับการป้องกันและเชิดชูสถาบันพระมหากษัตริย์
งบดำเนินงาน
- ค่าใช้จ่ายในการสัมมนาและฝึกอบรม (ประชาชนทั่วไป) 6,300,000 บาท
</t>
  </si>
  <si>
    <t>ที่ทำการปกครองจังหวัดลำปาง</t>
  </si>
  <si>
    <t xml:space="preserve">จัดงานน้อมรำลึกสมเด็จพระนเรศวรมหาราชนครลำปาง ประจำปี 2560
งบดำเนินงาน
- ค่าจ้างเหมาจัดงานรำลึกสมเด็จพระนเรศวรมหาราช 2,800,000 บาท
</t>
  </si>
  <si>
    <t>โครงการเพิ่มประสิทธิภาพในการรักษาความสงบเรียบร้อย และความปลอดภัยในชีวิตและทรัพย์สิน</t>
  </si>
  <si>
    <t xml:space="preserve">ติดตั้งกล้องโทรทัศน์วงจรปิดในบริเวณที่การจราจรติดขัด พื้นที่เสี่ยงต่อการเกิดอาชญากรรม
งบลงทุน : รายการครุภัณฑ์
- กล้องวีดีโอวงจรปิด 29 ตัว เป็นแบบฟิกซ์ 29 ตัว พร้อมอุปกรณ์
</t>
  </si>
  <si>
    <t>ตำรวจภูธรจังหวัดลำปาง</t>
  </si>
  <si>
    <t>ค่ายเยาวชนอาสาสมัครป้องกันและบรรเทาสาธารณภัย
งบดำเนินงาน</t>
  </si>
  <si>
    <t>สำนักงานป้องกันและบรรเทาสาธารณภัยจังหวัดลำปาง</t>
  </si>
  <si>
    <t>โครงการพัฒนาและเสริมสร้างเครือข่ายอาสาสมัครภาคประชาชนต่อการทุจริต</t>
  </si>
  <si>
    <t xml:space="preserve">ขับเคลื่อนนโยบายลำปางสุจริตสู่การปฏิบัติ ประจำปี 2560 </t>
  </si>
  <si>
    <t>สำนักงานพัฒนาสังคมและความมั่นคงของมนุษย์จังหวัดลำปาง</t>
  </si>
  <si>
    <t>ผลผลิต การบริหารจัดการ</t>
  </si>
  <si>
    <t>ค่าใช้จ่ายในการบริหารงานจังหวัดแบบบูรณาการ
งบรายจ่ายอื่น
 - ค่าใช้จ่ายในการบริหารงานจังหวัดแบบบูรณาการ 10,000,000 บาท</t>
  </si>
  <si>
    <t xml:space="preserve">รวม </t>
  </si>
  <si>
    <t>รวม 26 โครงการ  107 กิจกรรม</t>
  </si>
  <si>
    <t>เหลือจ่ายรวม</t>
  </si>
  <si>
    <t>ใช้ไป</t>
  </si>
  <si>
    <t>คงแหลือ</t>
  </si>
  <si>
    <t>ห้ามใช้</t>
  </si>
  <si>
    <t>***เงินค่าดิน ส่งคืนรายได้แผ่นดิน คก 3.2</t>
  </si>
  <si>
    <t>คงเหลือ-ใช้ได้</t>
  </si>
  <si>
    <t>โครงการแก้ไขปัญหาความเดือดร้อนเร่งด่วนของประชาชน</t>
  </si>
  <si>
    <t>ค่าใช้จ่ายในการสนับสนุนการแก้ไขปัญหาความเดือดร้อนเร่งด่วนของประชาชนในจังหวัด พ.ศ. 2560</t>
  </si>
  <si>
    <t>งบประมาณ 2,500,000 บาท</t>
  </si>
  <si>
    <t>รอบที่ 1</t>
  </si>
  <si>
    <t>ที่</t>
  </si>
  <si>
    <t>ชื่อโครงการ</t>
  </si>
  <si>
    <t>งบประมาณ
ที่ได้รับจัดสสร</t>
  </si>
  <si>
    <t>ที่ทำการปกครอง
อำเภอแม่พริก</t>
  </si>
  <si>
    <t>ตัดยอดเมื่อวันที่17 ก.พ. 60</t>
  </si>
  <si>
    <t xml:space="preserve">            </t>
  </si>
  <si>
    <t>ที่ทำการปกครอง
อำเภอแจ้ห่ม</t>
  </si>
  <si>
    <t>ที่ทำการปกครอง
อำเภอสบปราบ</t>
  </si>
  <si>
    <t>ตัดยอดเมื่อวันที่ 20 ก.พ. 60</t>
  </si>
  <si>
    <t>ตัดยอดเมื่อวันที่ 6 มี.ค. 60</t>
  </si>
  <si>
    <t>ที่ทำการปกครอง
อำเภอแม่ทะ</t>
  </si>
  <si>
    <t>ที่ทำการปกครอง
อำเภอเสริมงาม</t>
  </si>
  <si>
    <t>รวม</t>
  </si>
  <si>
    <t>รอบที่ 2</t>
  </si>
  <si>
    <t>ตัดยอดเมื่อวันที่ 12 มิ.ย. 60</t>
  </si>
  <si>
    <t xml:space="preserve">โครงการเสริมผิวถนนลาดยางผิวจราจรแบบแอสฟัลท์ติกคอนกรีต ถนนสายบ้านปงดอน – บ้านห้วยสะเหน้า หมู่ที่ 7 ตำบลปงดอน อำเภอแจ้ห่ม จังหวัดลำปาง </t>
  </si>
  <si>
    <t>โครงการขุดลอกหน้าฝายทุ่งสูง (ลุ่มน้ำแม่สุก) บ้านทุ่งคา หมู่ที่ 4 ตำบลแม่สุก อำเภอแจ้ห่ม จังหวัดลำปาง</t>
  </si>
  <si>
    <t>รวมทั้งสิ้น</t>
  </si>
  <si>
    <t xml:space="preserve">โครงการขุดลอกลำห้วยแม่พริก บ้านห้วยขี้นก หมู่ที่ 7 
ตำบลแม่พริก อำเภอแม่พริก จังหวัดลำปาง </t>
  </si>
  <si>
    <t>โครงการขุดสระเก็บน้ำเพื่อการเกษตร บ้านทุ่งผึ้ง หมู่ที่ 4 
ตำบลทุ่งผึ้ง อำเภอแจ้ห่ม จังหวัดลำปาง</t>
  </si>
  <si>
    <t>โครงการปรับปรุงสระเก็บน้ำ บ้านทุ่งรวงทอง หมู่ที่ 12 
ตำบลสบปราบ อำเภอสบปราบ จังหวัดลำปาง</t>
  </si>
  <si>
    <t xml:space="preserve">โครงการขุดลอกฝายทุ่งใหม่ บ้านทุ่งกล้วย หมู่ที่ 5 ตำบลบ้านเอื้อม อำเภอเมืองลำปาง จังหวัดลำปาง </t>
  </si>
  <si>
    <t xml:space="preserve">โครงการก่อสร้างถนนแอสฟัลท์ติกคอนกรีต บ้านอ้วน หมู่ที่ 3 ตำบลนาครัว อำเภอแม่ทะ จังหวัดลำปาง </t>
  </si>
  <si>
    <t xml:space="preserve">โครงการขุดลอกหน้าฝายนาเลียงลำน้ำแม่เลียง บ้านแม่เลียง หมู่ที่ 7 ตำบลเสริมขวา อำเภอเสริมงาม จังหวัดลำปาง 
</t>
  </si>
  <si>
    <t xml:space="preserve">โครงการก่อสร้างถนนคอนกรีตเสริมเหล็ก บ้านทุ่งผึ้ง หมู่ที่ 4 ตำบลทุ่งผึ้ง อำเภอแจ้ห่ม จังหวัดลำปาง </t>
  </si>
  <si>
    <t xml:space="preserve">โครงการขุดเปิดร่องน้ำลำห้วยแม่ตาก บ้านแจ้คอน หมู่ที่ 6 ตำบลทุ่งผึ้ง อำเภอแจ้ห่ม จังหวัดลำปาง </t>
  </si>
  <si>
    <t xml:space="preserve">โครงก่อสร้างถนนแอสฟัลท์ติกคอนกรีต บ้านแป้น หมู่ที่ 1 ตำบลบ้านสา อำเภอแจ้ห่ม จังหวัดลำปาง </t>
  </si>
  <si>
    <t xml:space="preserve">โครงการก่อสร้างถนนคอนกรีตเสริมเหล็ก ทางเข้าหนองปึ๋ง (แหล่งท่องเที่ยว) บ้านทุ่งวิเชต หมู่ที่ 11 ตำบลวิเชตนคร อำเภอแจ้ห่ม จังหวัดลำปาง </t>
  </si>
  <si>
    <t>จังหวัดลำปาง</t>
  </si>
  <si>
    <t>โครงการ</t>
  </si>
  <si>
    <t>ที่ทำการปกครอง
อำเภอเกาะคา</t>
  </si>
  <si>
    <t>ที่ทำการปกครอง
อำเภอห้างฉัตร</t>
  </si>
  <si>
    <t>ที่ทำการปกครอง
อำเภองาว</t>
  </si>
  <si>
    <t>ที่ทำการปกครอง
อำเภอเถิน</t>
  </si>
  <si>
    <t>ที่ทำการปกครอง
อำเภอเมืองปาน</t>
  </si>
  <si>
    <t>ที่ทำการปกครอง
อำเภอวังเหนือ</t>
  </si>
  <si>
    <t>โครงการขุดลอกลำน้ำแม่ตุ๋ย หมู่ที่ 6 ตำบลทุ่งกว๋าว อำเภอเมืองปาน จังหวัดลำปาง</t>
  </si>
  <si>
    <t>โครงการขุดลอกอ่างเก็บน้ำแม่บึ้ง บ้านป่าแข หมู่ที่ 7 ตำบลนาแก้ว อำเภอเกาะคา จังหวัดลำปาง</t>
  </si>
  <si>
    <t>โครงการฝายน้ำล้นคอนกรีต 
บ้านห้วยเกี๋ยง หมู่ที่ 9 ตำบลนาโป่ง อำเภอเถิน จังหวัดลำปาง</t>
  </si>
  <si>
    <t>โครงการขุดลอกหลงน้ำลัด หมู่ที่ 6 ตำบลพระบาทวังตวง อำเภอแม่พริก จังหวัดลำปาง</t>
  </si>
  <si>
    <t>รวม 15 โครงการ</t>
  </si>
  <si>
    <t>ข้อมูล ณ วันที่  14 กรกฎาคม 2560</t>
  </si>
  <si>
    <t>วงเงินงบประมาณที่ได้รับจัดสรร</t>
  </si>
  <si>
    <t>หน่วยงานที่มอบหมายให้รับผิดชอบ</t>
  </si>
  <si>
    <t>โครงการก่อสร้างฝายคอนกรีตเสริมเหล็ก บ้านฮ่องฮี หมู่ที่ 6 ตำบลเสริมกลาง อำเภอเสริมงาม จังหวัดลำปาง</t>
  </si>
  <si>
    <t>โครงการขุดลอกลำห้วยแม่เป๊าะ หมู่ที่ 4 ตำบลนาแก้ว อำเภอเกาะคา จังหวัดลำปาง</t>
  </si>
  <si>
    <t>โครงการก่อสร้างสะพานคอนกรีตเสริมเหล็กและกำแพงกันดินคอนกรีตเสริมเหล็ก หมู่ที่ 10 บ้านข่วง ตำบลปงยางคก อำเภอห้างฉัตร จังหวัดลำปาง</t>
  </si>
  <si>
    <t>โครงการก่อสร้างถนนคอนกรีตเสริมเหล็กบ้านปง หมู่ที่ 11 
ตำบลบ้านเอื้อม อำเภอเมืองลำปาง จังหวัดลำปาง</t>
  </si>
  <si>
    <t>โครงการก่อสร้างฝายชะลอน้ำ คอนกรีตเสริมเหล็กลำห้วยปั๋น ช่วงไหลผ่าน หมู่ที่ 9 ตำบลปงเตา อำเภองาว จังหวัดลำปาง</t>
  </si>
  <si>
    <t>โครงการขุดลอกหน้าทำนบกั้นน้ำลำห้วยปุก หมู่ที่ 6 ตำบลเมืองมาย อำเภอแจ้ห่ม จังหวัดลำปาง</t>
  </si>
  <si>
    <t>โครงการก่อสร้างฝายน้ำล้นคอนกรีต บ้านห้วยโจ้ หมู่ที่ 11ตำบลนาโป่ง อำเภอเถิน จังหวัดลำปาง</t>
  </si>
  <si>
    <t>โครงการก่อสร้างอาคารป้องกันตลิ่งพัง บ้านดอนมูล หมู่ที่ 3 ตำบลหัวเสือ อำเภอแม่ทะ จังหวัดลำปาง</t>
  </si>
  <si>
    <t>โครงการขุดสระเก็บน้ำเพื่อการเกษตรทุ่งน้ำดิบ หมู่ที่ 2, 6 ตำบลแม่ปุ อำเภอแม่พริก จังหวัดลำปาง</t>
  </si>
  <si>
    <t>โครงการพัฒนาแหล่งน้ำเพื่อการเกษตรลำน้ำแม่มอญ หมู่ที่ 11 ตำบลแจ้ซ้อน อำเภอเมืองปาน จังหวัดลำปาง</t>
  </si>
  <si>
    <t>โครงการปรับผิวจราจรที่หลุดร่อน โดยการลาดยาง Asphaltic Concrete (Over Lay) แล้วบดทับ บริเวณหน้าวัดบ้านฮ่าง หมู่ที่ 2 - ซอย 1 บ้านค่ายวัง หมู่ที่ 4 
ตำบลวังแก้ว อำเภอวังเหนือ จังหวัดลำปาง</t>
  </si>
  <si>
    <t>โครงการกลุ่มจังหวัดภาคเหนือตอนบน 1 ประจำปีงบประมาณ พ.ศ. 2560</t>
  </si>
  <si>
    <t>กิจกรรม</t>
  </si>
  <si>
    <t>หน่วยงานดำเนินการ</t>
  </si>
  <si>
    <t>1. โครงการพัฒนาเมืองล้านนาน่ามอง</t>
  </si>
  <si>
    <t>ปรับปรุงภูมิทัศน์ลานวัฒนธรรมวัดประตูป่อง ชุมชนท่ามะโอ      ต.เวียงเหนือ อ.เมือง จ.ลำปาง</t>
  </si>
  <si>
    <t>สำนักงานโยธาธิการและ      ผังเมืองจังหวัดลำปาง</t>
  </si>
  <si>
    <t>2. โครงการส่งเสริมการค้า      การลงทุน และหัตถกรรสร้างสรรค์สู่สากล</t>
  </si>
  <si>
    <t>2.1 ปรับปรุงภูมิทัศน์หมู่บ้านหัตถกรรม OTOP บ้านแจ้ซ้อนเหนือ หมู่ที่ 11 ต.แจ้ซ้อน อ.เมืองปาน จ.ลำปาง</t>
  </si>
  <si>
    <t>2.2 ก่อสร้างอาคารอเนกประสงค์  บ้านปงถ้ำ หมู่ที่ 3 ต.วังทอง     อ.วังเหนือ จ.ลำปาง ขนาดกว้าง 10.20 เมตร ยาว 14.20 เมตร     สูง 6.20 เมตร</t>
  </si>
  <si>
    <t>3. โครงการยกระดับการผลิตสินค้าเกษตรให้ได้คุณภาพมาตรฐานเพื่อเพิ่มขีดความสามารถในการแข่งขัน</t>
  </si>
  <si>
    <t>การสัมมนาและฝึกอบรมกิจกรรมยกระดับสินค้าข้าวเพื่อให้ได้มาตรฐานและมูลค่าเพิ่ม</t>
  </si>
  <si>
    <t>สำนักงานเกษตรและสหกรณ์
จังหวัดลำปาง</t>
  </si>
  <si>
    <t>4. โครงการส่งเสริมการขยายตลาดท่องเที่ยวกลุ่มจังหวัดภาคเหนือตอนบน 1 ทั้งในประเทศและต่างประเทศ</t>
  </si>
  <si>
    <t>4.1 ค่าจ้างเหมาจัดกิจกรรมสืบสานประเพณีวัฒนธรรมล้านนา</t>
  </si>
  <si>
    <t>4.2 ค่าจ้างเหมาจัดกิจกรรมท่องเที่ยวอารยธรรมมหัศจรรย์สีสันวัฒนธรรมล้านนา</t>
  </si>
  <si>
    <t xml:space="preserve">     4.2.1 จ้างเหมาทำสื่อส่งเสริมการท่องเที่ยวเชิงวัฒนธรรม "มหัศจรรย์สายน้ำเลิศล้ำวัฒนธรรมล้านนา"</t>
  </si>
  <si>
    <t xml:space="preserve">     4.2.2 จ้างเหมาจัดกิจกรรมมหัศจรรย์สีสันกลองล้านนาวัฒนธรรมล้ำค่าสู่วิถี</t>
  </si>
  <si>
    <t xml:space="preserve">     4.2.3 จ้างเหมาจัดการแสดงแสงสีเสียงและวิถีชีวิตนิทรรศการจิตวิญญาณดาบศาตราคู่แผ่นดินวิถีถิ่นดินแดนเขลางค์</t>
  </si>
  <si>
    <t>4.3 ค่าจ้างเหมาจัดกิจกรรมล้านนาแอดเวนเจอร์</t>
  </si>
  <si>
    <t>สำนักงานท่องเที่ยวและกีฬา
จังหวัดลำปาง</t>
  </si>
  <si>
    <t>5. โครงการแก้ไขปัญหาหมอกควันและภัยธรรมชาติ
กลุ่มจังหวัดภาคเหนือตอนบน 1</t>
  </si>
  <si>
    <t>วัสดุสนามและการฝึก</t>
  </si>
  <si>
    <t>สำนักงานทรัพยากรธรรมชาติและสิ่งแวดล้อมจังหวัดลำปาง</t>
  </si>
  <si>
    <t>กิจกรรมที่ 1 ประชุมเชิงปฏิบัติการทบทวน ให้ความรู้ด้านการแก้ไขปัญหาหมอกควันและภัยธรรมชาติ การทดลองและฝึกปฏิบัติ
(1,940,000)
กิจกรรมที่ 2 รณรงค์ ประชาสัมพันธ์ สร้างจิตสำนึก ผ่านรูปแบบกิจกรรมจัดนิทรรศการ ขบวนรณรงค์ สื่อ ประชาสัมพันธ์
(60,000)</t>
  </si>
  <si>
    <t>ศูนย์ป้องกันและบรรเทา   สาธารณภัยเขต 10 ลำปาง</t>
  </si>
  <si>
    <t>6. โครงการพัฒนาหมู่บ้านที่เป็นมิตรกับสิ่งแวดล้อม (Eco Village)</t>
  </si>
  <si>
    <t>สัมมนาและฝึกอบรม</t>
  </si>
  <si>
    <t>งบประมาณรวมทั้งสิ้น</t>
  </si>
  <si>
    <t xml:space="preserve">ในส่วนของจังหวัดลำปาง </t>
  </si>
  <si>
    <t>โครงการงบประมาณตามพระราชบัญญัติงบประมาณรายจ่ายประจำปีงบประมาณ  พ.ศ. 2560 แผนงานบูรณาการส่งเสริมการพัฒนาจังหวัดและกลุ่มจังหวัดแบบบูรณาการจังหวัดลำปาง</t>
  </si>
  <si>
    <t>(งบพัฒนาจังหวัด) จังหวัดลำปาง (แยกตามผลผลิต)</t>
  </si>
  <si>
    <t>งบกลาง รายการเงินสำรองจ่ายเพื่อกรณีฉุกเฉินหรือจำเป็น</t>
  </si>
  <si>
    <t>ในอำนาจของรองนายกรัฐมนตรี  ( พลเอก ธนะศักดิ์ ปฏิมาประกร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</si>
</sst>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#,##0.00_ ;\-#,##0.00\ "/>
    <numFmt numFmtId="188" formatCode="_-* #,##0.0_-;\-* #,##0.0_-;_-* &quot;-&quot;?_-;_-@_-"/>
    <numFmt numFmtId="189" formatCode="0.0"/>
    <numFmt numFmtId="190" formatCode="_-* #,##0.0_-;\-* #,##0.0_-;_-* &quot;-&quot;??_-;_-@_-"/>
    <numFmt numFmtId="191" formatCode="_-* #,##0.00_-;\-* #,##0.00_-;_-* &quot;-&quot;_-;_-@_-"/>
    <numFmt numFmtId="192" formatCode="_-* #,##0.00_-;\-* #,##0.00_-;_-* &quot;-&quot;?_-;_-@_-"/>
    <numFmt numFmtId="193" formatCode="0_ ;\-0\ 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IT๙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</font>
    <font>
      <sz val="16"/>
      <color theme="0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2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19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</cellStyleXfs>
  <cellXfs count="357">
    <xf numFmtId="0" fontId="0" fillId="0" borderId="0" xfId="0"/>
    <xf numFmtId="2" fontId="5" fillId="0" borderId="16" xfId="0" applyNumberFormat="1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vertical="top" wrapText="1"/>
    </xf>
    <xf numFmtId="188" fontId="5" fillId="0" borderId="16" xfId="0" applyNumberFormat="1" applyFont="1" applyFill="1" applyBorder="1" applyAlignment="1">
      <alignment vertical="top" wrapText="1"/>
    </xf>
    <xf numFmtId="4" fontId="5" fillId="0" borderId="16" xfId="0" applyNumberFormat="1" applyFont="1" applyFill="1" applyBorder="1" applyAlignment="1">
      <alignment horizontal="right" vertical="top" wrapText="1"/>
    </xf>
    <xf numFmtId="4" fontId="5" fillId="0" borderId="16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right" vertical="top" wrapText="1"/>
    </xf>
    <xf numFmtId="189" fontId="5" fillId="0" borderId="16" xfId="0" applyNumberFormat="1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vertical="top" wrapText="1"/>
    </xf>
    <xf numFmtId="1" fontId="2" fillId="0" borderId="11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4" fontId="2" fillId="0" borderId="1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right" vertical="top" wrapText="1"/>
    </xf>
    <xf numFmtId="190" fontId="5" fillId="0" borderId="13" xfId="1" applyNumberFormat="1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49" fontId="5" fillId="0" borderId="13" xfId="0" applyNumberFormat="1" applyFont="1" applyFill="1" applyBorder="1" applyAlignment="1">
      <alignment horizontal="left" vertical="top" wrapText="1"/>
    </xf>
    <xf numFmtId="0" fontId="7" fillId="0" borderId="13" xfId="3" applyFont="1" applyFill="1" applyBorder="1" applyAlignment="1">
      <alignment vertical="top" wrapText="1"/>
    </xf>
    <xf numFmtId="4" fontId="2" fillId="0" borderId="13" xfId="0" applyNumberFormat="1" applyFont="1" applyFill="1" applyBorder="1" applyAlignment="1">
      <alignment vertical="top" wrapText="1"/>
    </xf>
    <xf numFmtId="4" fontId="5" fillId="0" borderId="13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vertical="top" wrapText="1"/>
    </xf>
    <xf numFmtId="191" fontId="5" fillId="0" borderId="11" xfId="0" applyNumberFormat="1" applyFont="1" applyFill="1" applyBorder="1" applyAlignment="1">
      <alignment horizontal="right" vertical="top" wrapText="1"/>
    </xf>
    <xf numFmtId="188" fontId="5" fillId="0" borderId="11" xfId="0" applyNumberFormat="1" applyFont="1" applyFill="1" applyBorder="1" applyAlignment="1">
      <alignment vertical="top" wrapText="1"/>
    </xf>
    <xf numFmtId="41" fontId="5" fillId="0" borderId="11" xfId="0" applyNumberFormat="1" applyFont="1" applyFill="1" applyBorder="1" applyAlignment="1">
      <alignment vertical="top" wrapText="1"/>
    </xf>
    <xf numFmtId="188" fontId="5" fillId="0" borderId="11" xfId="0" applyNumberFormat="1" applyFont="1" applyFill="1" applyBorder="1" applyAlignment="1">
      <alignment horizontal="left" vertical="top" wrapText="1"/>
    </xf>
    <xf numFmtId="43" fontId="5" fillId="0" borderId="11" xfId="0" applyNumberFormat="1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189" fontId="5" fillId="0" borderId="7" xfId="0" applyNumberFormat="1" applyFont="1" applyFill="1" applyBorder="1" applyAlignment="1">
      <alignment vertical="top" wrapText="1"/>
    </xf>
    <xf numFmtId="188" fontId="5" fillId="0" borderId="13" xfId="0" applyNumberFormat="1" applyFont="1" applyFill="1" applyBorder="1" applyAlignment="1">
      <alignment vertical="top" wrapText="1"/>
    </xf>
    <xf numFmtId="41" fontId="5" fillId="0" borderId="13" xfId="0" applyNumberFormat="1" applyFont="1" applyFill="1" applyBorder="1" applyAlignment="1">
      <alignment vertical="top" wrapText="1"/>
    </xf>
    <xf numFmtId="43" fontId="5" fillId="0" borderId="13" xfId="0" applyNumberFormat="1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left" vertical="top"/>
    </xf>
    <xf numFmtId="2" fontId="5" fillId="0" borderId="13" xfId="0" applyNumberFormat="1" applyFont="1" applyFill="1" applyBorder="1" applyAlignment="1">
      <alignment vertical="top" wrapText="1"/>
    </xf>
    <xf numFmtId="191" fontId="5" fillId="0" borderId="13" xfId="1" applyNumberFormat="1" applyFont="1" applyFill="1" applyBorder="1" applyAlignment="1">
      <alignment horizontal="right" vertical="top" wrapText="1"/>
    </xf>
    <xf numFmtId="189" fontId="5" fillId="0" borderId="1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7" fillId="0" borderId="2" xfId="3" applyFont="1" applyFill="1" applyBorder="1" applyAlignment="1">
      <alignment vertical="top" wrapText="1"/>
    </xf>
    <xf numFmtId="188" fontId="5" fillId="0" borderId="3" xfId="0" applyNumberFormat="1" applyFont="1" applyFill="1" applyBorder="1" applyAlignment="1">
      <alignment vertical="top" wrapText="1"/>
    </xf>
    <xf numFmtId="4" fontId="5" fillId="0" borderId="7" xfId="0" applyNumberFormat="1" applyFont="1" applyFill="1" applyBorder="1" applyAlignment="1">
      <alignment horizontal="right" vertical="top" wrapText="1"/>
    </xf>
    <xf numFmtId="4" fontId="5" fillId="0" borderId="7" xfId="0" applyNumberFormat="1" applyFont="1" applyFill="1" applyBorder="1" applyAlignment="1">
      <alignment vertical="top" wrapText="1"/>
    </xf>
    <xf numFmtId="43" fontId="5" fillId="0" borderId="0" xfId="0" applyNumberFormat="1" applyFont="1" applyFill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5" fillId="0" borderId="11" xfId="0" applyFont="1" applyFill="1" applyBorder="1" applyAlignment="1">
      <alignment horizontal="left" vertical="top" wrapText="1"/>
    </xf>
    <xf numFmtId="188" fontId="5" fillId="0" borderId="2" xfId="0" applyNumberFormat="1" applyFont="1" applyFill="1" applyBorder="1" applyAlignment="1">
      <alignment vertical="top" wrapText="1"/>
    </xf>
    <xf numFmtId="4" fontId="5" fillId="0" borderId="11" xfId="0" applyNumberFormat="1" applyFont="1" applyFill="1" applyBorder="1" applyAlignment="1">
      <alignment horizontal="right" vertical="top" wrapText="1"/>
    </xf>
    <xf numFmtId="4" fontId="5" fillId="0" borderId="11" xfId="0" applyNumberFormat="1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left" vertical="top" wrapText="1"/>
    </xf>
    <xf numFmtId="188" fontId="5" fillId="0" borderId="7" xfId="0" applyNumberFormat="1" applyFont="1" applyFill="1" applyBorder="1" applyAlignment="1">
      <alignment vertical="top" wrapText="1"/>
    </xf>
    <xf numFmtId="49" fontId="7" fillId="0" borderId="17" xfId="0" applyNumberFormat="1" applyFont="1" applyFill="1" applyBorder="1" applyAlignment="1">
      <alignment horizontal="left" vertical="top" wrapText="1"/>
    </xf>
    <xf numFmtId="4" fontId="5" fillId="0" borderId="17" xfId="0" applyNumberFormat="1" applyFont="1" applyFill="1" applyBorder="1" applyAlignment="1">
      <alignment horizontal="right" vertical="top" wrapText="1"/>
    </xf>
    <xf numFmtId="4" fontId="5" fillId="0" borderId="17" xfId="0" applyNumberFormat="1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4" fontId="5" fillId="0" borderId="13" xfId="0" applyNumberFormat="1" applyFont="1" applyFill="1" applyBorder="1" applyAlignment="1">
      <alignment horizontal="right" vertical="top" wrapText="1"/>
    </xf>
    <xf numFmtId="189" fontId="5" fillId="0" borderId="10" xfId="0" applyNumberFormat="1" applyFont="1" applyFill="1" applyBorder="1" applyAlignment="1">
      <alignment vertical="top" wrapText="1"/>
    </xf>
    <xf numFmtId="49" fontId="7" fillId="0" borderId="15" xfId="0" applyNumberFormat="1" applyFont="1" applyFill="1" applyBorder="1" applyAlignment="1">
      <alignment horizontal="left" vertical="top" wrapText="1"/>
    </xf>
    <xf numFmtId="188" fontId="5" fillId="0" borderId="10" xfId="0" applyNumberFormat="1" applyFont="1" applyFill="1" applyBorder="1" applyAlignment="1">
      <alignment vertical="top" wrapText="1"/>
    </xf>
    <xf numFmtId="4" fontId="5" fillId="0" borderId="15" xfId="0" applyNumberFormat="1" applyFont="1" applyFill="1" applyBorder="1" applyAlignment="1">
      <alignment horizontal="right" vertical="top" wrapText="1"/>
    </xf>
    <xf numFmtId="4" fontId="5" fillId="0" borderId="15" xfId="0" applyNumberFormat="1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1" fontId="5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4" fontId="5" fillId="0" borderId="10" xfId="0" applyNumberFormat="1" applyFont="1" applyFill="1" applyBorder="1" applyAlignment="1">
      <alignment horizontal="right" vertical="top" wrapText="1"/>
    </xf>
    <xf numFmtId="4" fontId="2" fillId="0" borderId="10" xfId="0" applyNumberFormat="1" applyFont="1" applyFill="1" applyBorder="1" applyAlignment="1">
      <alignment vertical="top" wrapText="1"/>
    </xf>
    <xf numFmtId="4" fontId="5" fillId="0" borderId="10" xfId="0" applyNumberFormat="1" applyFont="1" applyFill="1" applyBorder="1" applyAlignment="1">
      <alignment vertical="top" wrapText="1"/>
    </xf>
    <xf numFmtId="1" fontId="2" fillId="0" borderId="17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left" vertical="top" wrapText="1"/>
    </xf>
    <xf numFmtId="188" fontId="2" fillId="0" borderId="17" xfId="0" applyNumberFormat="1" applyFont="1" applyFill="1" applyBorder="1" applyAlignment="1">
      <alignment vertical="top" wrapText="1"/>
    </xf>
    <xf numFmtId="4" fontId="2" fillId="0" borderId="17" xfId="0" applyNumberFormat="1" applyFont="1" applyFill="1" applyBorder="1" applyAlignment="1">
      <alignment horizontal="right" vertical="top" wrapText="1"/>
    </xf>
    <xf numFmtId="4" fontId="2" fillId="0" borderId="17" xfId="0" applyNumberFormat="1" applyFont="1" applyFill="1" applyBorder="1" applyAlignment="1">
      <alignment vertical="top" wrapText="1"/>
    </xf>
    <xf numFmtId="4" fontId="2" fillId="0" borderId="25" xfId="0" applyNumberFormat="1" applyFont="1" applyFill="1" applyBorder="1" applyAlignment="1">
      <alignment vertical="top" wrapText="1"/>
    </xf>
    <xf numFmtId="189" fontId="5" fillId="0" borderId="13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left" vertical="top" wrapText="1"/>
    </xf>
    <xf numFmtId="43" fontId="7" fillId="0" borderId="13" xfId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4" fontId="2" fillId="0" borderId="16" xfId="0" applyNumberFormat="1" applyFont="1" applyFill="1" applyBorder="1" applyAlignment="1">
      <alignment vertical="top" wrapText="1"/>
    </xf>
    <xf numFmtId="4" fontId="2" fillId="0" borderId="26" xfId="0" applyNumberFormat="1" applyFont="1" applyFill="1" applyBorder="1" applyAlignment="1">
      <alignment vertical="top" wrapText="1"/>
    </xf>
    <xf numFmtId="2" fontId="5" fillId="0" borderId="13" xfId="0" applyNumberFormat="1" applyFont="1" applyFill="1" applyBorder="1" applyAlignment="1">
      <alignment horizontal="center" vertical="top" wrapText="1"/>
    </xf>
    <xf numFmtId="3" fontId="5" fillId="0" borderId="13" xfId="0" applyNumberFormat="1" applyFont="1" applyFill="1" applyBorder="1" applyAlignment="1">
      <alignment vertical="top" wrapText="1"/>
    </xf>
    <xf numFmtId="0" fontId="5" fillId="0" borderId="27" xfId="0" applyFont="1" applyFill="1" applyBorder="1" applyAlignment="1">
      <alignment vertical="top" wrapText="1"/>
    </xf>
    <xf numFmtId="192" fontId="5" fillId="0" borderId="13" xfId="0" applyNumberFormat="1" applyFont="1" applyFill="1" applyBorder="1" applyAlignment="1">
      <alignment horizontal="right" vertical="top" wrapText="1"/>
    </xf>
    <xf numFmtId="4" fontId="5" fillId="0" borderId="13" xfId="1" applyNumberFormat="1" applyFont="1" applyFill="1" applyBorder="1" applyAlignment="1">
      <alignment horizontal="center" vertical="top" wrapText="1"/>
    </xf>
    <xf numFmtId="4" fontId="5" fillId="0" borderId="13" xfId="0" applyNumberFormat="1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3" fontId="5" fillId="0" borderId="16" xfId="0" applyNumberFormat="1" applyFont="1" applyFill="1" applyBorder="1" applyAlignment="1">
      <alignment vertical="top" wrapText="1"/>
    </xf>
    <xf numFmtId="0" fontId="7" fillId="0" borderId="7" xfId="3" applyFont="1" applyFill="1" applyBorder="1" applyAlignment="1">
      <alignment vertical="top" wrapText="1"/>
    </xf>
    <xf numFmtId="0" fontId="5" fillId="0" borderId="28" xfId="0" applyFont="1" applyFill="1" applyBorder="1" applyAlignment="1">
      <alignment vertical="top" wrapText="1"/>
    </xf>
    <xf numFmtId="43" fontId="7" fillId="0" borderId="7" xfId="1" applyFont="1" applyFill="1" applyBorder="1" applyAlignment="1">
      <alignment vertical="top"/>
    </xf>
    <xf numFmtId="4" fontId="5" fillId="0" borderId="16" xfId="1" applyNumberFormat="1" applyFont="1" applyFill="1" applyBorder="1" applyAlignment="1">
      <alignment horizontal="center" vertical="top" wrapText="1"/>
    </xf>
    <xf numFmtId="4" fontId="5" fillId="0" borderId="16" xfId="0" applyNumberFormat="1" applyFont="1" applyFill="1" applyBorder="1" applyAlignment="1">
      <alignment horizontal="left" vertical="top" wrapText="1"/>
    </xf>
    <xf numFmtId="14" fontId="5" fillId="0" borderId="0" xfId="0" applyNumberFormat="1" applyFont="1" applyFill="1" applyAlignment="1">
      <alignment vertical="top" wrapText="1"/>
    </xf>
    <xf numFmtId="0" fontId="5" fillId="0" borderId="0" xfId="0" quotePrefix="1" applyFont="1" applyFill="1" applyAlignment="1">
      <alignment vertical="top" wrapText="1"/>
    </xf>
    <xf numFmtId="3" fontId="2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188" fontId="2" fillId="0" borderId="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right" vertical="top" wrapText="1"/>
    </xf>
    <xf numFmtId="4" fontId="2" fillId="0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189" fontId="5" fillId="0" borderId="17" xfId="0" applyNumberFormat="1" applyFont="1" applyFill="1" applyBorder="1" applyAlignment="1">
      <alignment horizontal="center" vertical="top" wrapText="1"/>
    </xf>
    <xf numFmtId="3" fontId="2" fillId="0" borderId="17" xfId="0" applyNumberFormat="1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left" vertical="top" wrapText="1"/>
    </xf>
    <xf numFmtId="3" fontId="2" fillId="0" borderId="13" xfId="0" applyNumberFormat="1" applyFont="1" applyFill="1" applyBorder="1" applyAlignment="1">
      <alignment vertical="top" wrapText="1"/>
    </xf>
    <xf numFmtId="188" fontId="5" fillId="0" borderId="13" xfId="0" applyNumberFormat="1" applyFont="1" applyFill="1" applyBorder="1" applyAlignment="1">
      <alignment horizontal="left" vertical="top" wrapText="1"/>
    </xf>
    <xf numFmtId="1" fontId="5" fillId="0" borderId="11" xfId="0" applyNumberFormat="1" applyFont="1" applyFill="1" applyBorder="1" applyAlignment="1">
      <alignment horizontal="center" vertical="top" wrapText="1"/>
    </xf>
    <xf numFmtId="3" fontId="2" fillId="0" borderId="11" xfId="0" applyNumberFormat="1" applyFont="1" applyFill="1" applyBorder="1" applyAlignment="1">
      <alignment vertical="top" wrapText="1"/>
    </xf>
    <xf numFmtId="188" fontId="2" fillId="0" borderId="11" xfId="0" applyNumberFormat="1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187" fontId="7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187" fontId="2" fillId="0" borderId="0" xfId="0" applyNumberFormat="1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188" fontId="2" fillId="0" borderId="2" xfId="0" applyNumberFormat="1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top" wrapText="1"/>
    </xf>
    <xf numFmtId="4" fontId="2" fillId="0" borderId="3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4" fontId="5" fillId="0" borderId="12" xfId="0" applyNumberFormat="1" applyFont="1" applyFill="1" applyBorder="1" applyAlignment="1">
      <alignment vertical="top" wrapText="1"/>
    </xf>
    <xf numFmtId="4" fontId="5" fillId="0" borderId="14" xfId="0" applyNumberFormat="1" applyFont="1" applyFill="1" applyBorder="1" applyAlignment="1">
      <alignment vertical="top" wrapText="1"/>
    </xf>
    <xf numFmtId="1" fontId="2" fillId="0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188" fontId="2" fillId="0" borderId="10" xfId="0" applyNumberFormat="1" applyFont="1" applyFill="1" applyBorder="1" applyAlignment="1">
      <alignment vertical="top" wrapText="1"/>
    </xf>
    <xf numFmtId="4" fontId="2" fillId="0" borderId="10" xfId="0" applyNumberFormat="1" applyFont="1" applyFill="1" applyBorder="1" applyAlignment="1">
      <alignment horizontal="right" vertical="top" wrapText="1"/>
    </xf>
    <xf numFmtId="4" fontId="2" fillId="0" borderId="8" xfId="0" applyNumberFormat="1" applyFont="1" applyFill="1" applyBorder="1" applyAlignment="1">
      <alignment vertical="top" wrapText="1"/>
    </xf>
    <xf numFmtId="1" fontId="2" fillId="0" borderId="15" xfId="0" applyNumberFormat="1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188" fontId="2" fillId="0" borderId="15" xfId="0" applyNumberFormat="1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horizontal="right" vertical="top" wrapText="1"/>
    </xf>
    <xf numFmtId="4" fontId="2" fillId="0" borderId="15" xfId="0" applyNumberFormat="1" applyFont="1" applyFill="1" applyBorder="1" applyAlignment="1">
      <alignment vertical="top" wrapText="1"/>
    </xf>
    <xf numFmtId="189" fontId="6" fillId="0" borderId="13" xfId="0" applyNumberFormat="1" applyFont="1" applyFill="1" applyBorder="1" applyAlignment="1">
      <alignment horizontal="center" vertical="top" wrapText="1"/>
    </xf>
    <xf numFmtId="3" fontId="6" fillId="0" borderId="13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188" fontId="6" fillId="0" borderId="13" xfId="0" applyNumberFormat="1" applyFont="1" applyFill="1" applyBorder="1" applyAlignment="1">
      <alignment vertical="top" wrapText="1"/>
    </xf>
    <xf numFmtId="4" fontId="6" fillId="0" borderId="13" xfId="0" applyNumberFormat="1" applyFont="1" applyFill="1" applyBorder="1" applyAlignment="1">
      <alignment horizontal="right" vertical="top" wrapText="1"/>
    </xf>
    <xf numFmtId="4" fontId="6" fillId="0" borderId="13" xfId="0" applyNumberFormat="1" applyFont="1" applyFill="1" applyBorder="1" applyAlignment="1">
      <alignment vertical="top" wrapText="1"/>
    </xf>
    <xf numFmtId="4" fontId="7" fillId="0" borderId="13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top" wrapText="1"/>
    </xf>
    <xf numFmtId="4" fontId="5" fillId="0" borderId="0" xfId="0" applyNumberFormat="1" applyFont="1" applyFill="1" applyAlignment="1">
      <alignment vertical="top" wrapText="1"/>
    </xf>
    <xf numFmtId="2" fontId="2" fillId="0" borderId="15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Alignment="1">
      <alignment vertical="top" wrapText="1"/>
    </xf>
    <xf numFmtId="189" fontId="2" fillId="0" borderId="15" xfId="0" applyNumberFormat="1" applyFont="1" applyFill="1" applyBorder="1" applyAlignment="1">
      <alignment vertical="top" wrapText="1"/>
    </xf>
    <xf numFmtId="188" fontId="2" fillId="0" borderId="15" xfId="0" applyNumberFormat="1" applyFont="1" applyFill="1" applyBorder="1" applyAlignment="1">
      <alignment horizontal="left" vertical="top" wrapText="1"/>
    </xf>
    <xf numFmtId="188" fontId="5" fillId="0" borderId="2" xfId="0" applyNumberFormat="1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top" wrapText="1"/>
    </xf>
    <xf numFmtId="1" fontId="2" fillId="0" borderId="15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0" fontId="8" fillId="0" borderId="15" xfId="3" applyFont="1" applyFill="1" applyBorder="1" applyAlignment="1">
      <alignment vertical="top" wrapText="1"/>
    </xf>
    <xf numFmtId="0" fontId="9" fillId="0" borderId="11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49" fontId="7" fillId="0" borderId="13" xfId="0" applyNumberFormat="1" applyFont="1" applyFill="1" applyBorder="1" applyAlignment="1">
      <alignment wrapText="1"/>
    </xf>
    <xf numFmtId="191" fontId="7" fillId="0" borderId="13" xfId="1" applyNumberFormat="1" applyFont="1" applyFill="1" applyBorder="1" applyAlignment="1">
      <alignment horizontal="right" vertical="top"/>
    </xf>
    <xf numFmtId="189" fontId="5" fillId="0" borderId="15" xfId="0" applyNumberFormat="1" applyFont="1" applyFill="1" applyBorder="1" applyAlignment="1">
      <alignment vertical="top" wrapText="1"/>
    </xf>
    <xf numFmtId="191" fontId="2" fillId="0" borderId="15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vertical="top" wrapText="1"/>
    </xf>
    <xf numFmtId="49" fontId="5" fillId="0" borderId="19" xfId="0" applyNumberFormat="1" applyFont="1" applyFill="1" applyBorder="1" applyAlignment="1">
      <alignment vertical="top" wrapText="1"/>
    </xf>
    <xf numFmtId="188" fontId="5" fillId="0" borderId="19" xfId="0" applyNumberFormat="1" applyFont="1" applyFill="1" applyBorder="1" applyAlignment="1">
      <alignment vertical="top" wrapText="1"/>
    </xf>
    <xf numFmtId="4" fontId="5" fillId="0" borderId="19" xfId="0" applyNumberFormat="1" applyFont="1" applyFill="1" applyBorder="1" applyAlignment="1">
      <alignment horizontal="right" vertical="top" wrapText="1"/>
    </xf>
    <xf numFmtId="4" fontId="5" fillId="0" borderId="19" xfId="0" applyNumberFormat="1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49" fontId="5" fillId="0" borderId="20" xfId="0" applyNumberFormat="1" applyFont="1" applyFill="1" applyBorder="1" applyAlignment="1">
      <alignment vertical="top" wrapText="1"/>
    </xf>
    <xf numFmtId="188" fontId="5" fillId="0" borderId="20" xfId="0" applyNumberFormat="1" applyFont="1" applyFill="1" applyBorder="1" applyAlignment="1">
      <alignment vertical="top" wrapText="1"/>
    </xf>
    <xf numFmtId="4" fontId="5" fillId="0" borderId="20" xfId="0" applyNumberFormat="1" applyFont="1" applyFill="1" applyBorder="1" applyAlignment="1">
      <alignment horizontal="right" vertical="top" wrapText="1"/>
    </xf>
    <xf numFmtId="4" fontId="5" fillId="0" borderId="20" xfId="0" applyNumberFormat="1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49" fontId="5" fillId="0" borderId="21" xfId="0" applyNumberFormat="1" applyFont="1" applyFill="1" applyBorder="1" applyAlignment="1">
      <alignment vertical="top" wrapText="1"/>
    </xf>
    <xf numFmtId="188" fontId="5" fillId="0" borderId="21" xfId="0" applyNumberFormat="1" applyFont="1" applyFill="1" applyBorder="1" applyAlignment="1">
      <alignment vertical="top" wrapText="1"/>
    </xf>
    <xf numFmtId="4" fontId="5" fillId="0" borderId="21" xfId="0" applyNumberFormat="1" applyFont="1" applyFill="1" applyBorder="1" applyAlignment="1">
      <alignment horizontal="right" vertical="top" wrapText="1"/>
    </xf>
    <xf numFmtId="4" fontId="5" fillId="0" borderId="21" xfId="0" applyNumberFormat="1" applyFont="1" applyFill="1" applyBorder="1" applyAlignment="1">
      <alignment vertical="top" wrapText="1"/>
    </xf>
    <xf numFmtId="189" fontId="5" fillId="0" borderId="3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vertical="top" wrapText="1"/>
    </xf>
    <xf numFmtId="4" fontId="2" fillId="0" borderId="3" xfId="1" applyNumberFormat="1" applyFont="1" applyFill="1" applyBorder="1" applyAlignment="1">
      <alignment horizontal="right" vertical="top" wrapText="1"/>
    </xf>
    <xf numFmtId="4" fontId="2" fillId="0" borderId="3" xfId="1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189" fontId="2" fillId="0" borderId="15" xfId="0" applyNumberFormat="1" applyFont="1" applyFill="1" applyBorder="1" applyAlignment="1">
      <alignment horizontal="center" vertical="top" wrapText="1"/>
    </xf>
    <xf numFmtId="4" fontId="5" fillId="0" borderId="13" xfId="1" applyNumberFormat="1" applyFont="1" applyFill="1" applyBorder="1" applyAlignment="1">
      <alignment horizontal="right" vertical="top" wrapText="1"/>
    </xf>
    <xf numFmtId="43" fontId="5" fillId="0" borderId="13" xfId="1" applyFont="1" applyFill="1" applyBorder="1" applyAlignment="1">
      <alignment horizontal="right" vertical="top" wrapText="1"/>
    </xf>
    <xf numFmtId="4" fontId="2" fillId="0" borderId="15" xfId="1" applyNumberFormat="1" applyFont="1" applyFill="1" applyBorder="1" applyAlignment="1">
      <alignment horizontal="right" vertical="top" wrapText="1"/>
    </xf>
    <xf numFmtId="4" fontId="2" fillId="0" borderId="15" xfId="0" applyNumberFormat="1" applyFont="1" applyFill="1" applyBorder="1" applyAlignment="1">
      <alignment horizontal="left" vertical="top" wrapText="1"/>
    </xf>
    <xf numFmtId="4" fontId="2" fillId="0" borderId="3" xfId="1" applyNumberFormat="1" applyFont="1" applyFill="1" applyBorder="1" applyAlignment="1">
      <alignment horizontal="right" wrapText="1"/>
    </xf>
    <xf numFmtId="4" fontId="2" fillId="0" borderId="3" xfId="0" applyNumberFormat="1" applyFont="1" applyFill="1" applyBorder="1" applyAlignment="1">
      <alignment wrapText="1"/>
    </xf>
    <xf numFmtId="4" fontId="5" fillId="0" borderId="11" xfId="1" applyNumberFormat="1" applyFont="1" applyFill="1" applyBorder="1" applyAlignment="1">
      <alignment horizontal="right" vertical="top" wrapText="1"/>
    </xf>
    <xf numFmtId="4" fontId="5" fillId="0" borderId="11" xfId="0" applyNumberFormat="1" applyFont="1" applyFill="1" applyBorder="1" applyAlignment="1">
      <alignment horizontal="left" vertical="top" wrapText="1"/>
    </xf>
    <xf numFmtId="4" fontId="5" fillId="0" borderId="12" xfId="0" applyNumberFormat="1" applyFont="1" applyFill="1" applyBorder="1" applyAlignment="1">
      <alignment horizontal="left" vertical="top" wrapText="1"/>
    </xf>
    <xf numFmtId="43" fontId="5" fillId="0" borderId="0" xfId="1" applyFont="1" applyFill="1" applyAlignment="1">
      <alignment vertical="top" wrapText="1"/>
    </xf>
    <xf numFmtId="4" fontId="2" fillId="0" borderId="24" xfId="0" applyNumberFormat="1" applyFont="1" applyFill="1" applyBorder="1" applyAlignment="1">
      <alignment vertical="top" wrapText="1"/>
    </xf>
    <xf numFmtId="4" fontId="7" fillId="0" borderId="13" xfId="0" applyNumberFormat="1" applyFont="1" applyFill="1" applyBorder="1" applyAlignment="1">
      <alignment horizontal="right" vertical="top"/>
    </xf>
    <xf numFmtId="0" fontId="7" fillId="0" borderId="15" xfId="0" applyFont="1" applyFill="1" applyBorder="1" applyAlignment="1">
      <alignment vertical="top" wrapText="1"/>
    </xf>
    <xf numFmtId="4" fontId="7" fillId="0" borderId="15" xfId="1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left" vertical="top" wrapText="1"/>
    </xf>
    <xf numFmtId="188" fontId="6" fillId="0" borderId="13" xfId="0" applyNumberFormat="1" applyFont="1" applyFill="1" applyBorder="1" applyAlignment="1">
      <alignment horizontal="left" vertical="top" wrapText="1"/>
    </xf>
    <xf numFmtId="4" fontId="6" fillId="0" borderId="13" xfId="0" applyNumberFormat="1" applyFont="1" applyFill="1" applyBorder="1" applyAlignment="1">
      <alignment horizontal="right" vertical="top"/>
    </xf>
    <xf numFmtId="4" fontId="6" fillId="0" borderId="13" xfId="0" applyNumberFormat="1" applyFont="1" applyFill="1" applyBorder="1" applyAlignment="1">
      <alignment vertical="top"/>
    </xf>
    <xf numFmtId="4" fontId="6" fillId="0" borderId="13" xfId="0" applyNumberFormat="1" applyFont="1" applyFill="1" applyBorder="1" applyAlignment="1">
      <alignment horizontal="left" vertical="top" wrapText="1"/>
    </xf>
    <xf numFmtId="4" fontId="5" fillId="0" borderId="13" xfId="4" applyNumberFormat="1" applyFont="1" applyFill="1" applyBorder="1" applyAlignment="1">
      <alignment horizontal="right" vertical="top" wrapText="1"/>
    </xf>
    <xf numFmtId="4" fontId="5" fillId="0" borderId="13" xfId="4" applyNumberFormat="1" applyFont="1" applyFill="1" applyBorder="1" applyAlignment="1">
      <alignment vertical="top" wrapText="1"/>
    </xf>
    <xf numFmtId="2" fontId="6" fillId="0" borderId="13" xfId="0" applyNumberFormat="1" applyFont="1" applyFill="1" applyBorder="1" applyAlignment="1">
      <alignment horizontal="center" vertical="top" wrapText="1"/>
    </xf>
    <xf numFmtId="4" fontId="6" fillId="0" borderId="13" xfId="1" applyNumberFormat="1" applyFont="1" applyFill="1" applyBorder="1" applyAlignment="1">
      <alignment horizontal="right" vertical="top" wrapText="1"/>
    </xf>
    <xf numFmtId="4" fontId="6" fillId="0" borderId="13" xfId="1" applyNumberFormat="1" applyFont="1" applyFill="1" applyBorder="1" applyAlignment="1">
      <alignment horizontal="center" vertical="top" wrapText="1"/>
    </xf>
    <xf numFmtId="4" fontId="5" fillId="0" borderId="13" xfId="1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top" wrapText="1"/>
    </xf>
    <xf numFmtId="3" fontId="2" fillId="0" borderId="15" xfId="0" applyNumberFormat="1" applyFont="1" applyFill="1" applyBorder="1" applyAlignment="1">
      <alignment vertical="top" wrapText="1"/>
    </xf>
    <xf numFmtId="4" fontId="2" fillId="0" borderId="15" xfId="1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3" fontId="5" fillId="0" borderId="17" xfId="0" applyNumberFormat="1" applyFont="1" applyFill="1" applyBorder="1" applyAlignment="1">
      <alignment vertical="top" wrapText="1"/>
    </xf>
    <xf numFmtId="0" fontId="11" fillId="0" borderId="17" xfId="0" applyFont="1" applyFill="1" applyBorder="1" applyAlignment="1">
      <alignment vertical="top" wrapText="1"/>
    </xf>
    <xf numFmtId="43" fontId="9" fillId="0" borderId="17" xfId="1" applyFont="1" applyFill="1" applyBorder="1" applyAlignment="1">
      <alignment horizontal="right" vertical="top"/>
    </xf>
    <xf numFmtId="3" fontId="5" fillId="0" borderId="11" xfId="0" applyNumberFormat="1" applyFont="1" applyFill="1" applyBorder="1" applyAlignment="1">
      <alignment vertical="top" wrapText="1"/>
    </xf>
    <xf numFmtId="3" fontId="2" fillId="0" borderId="15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188" fontId="2" fillId="0" borderId="3" xfId="0" applyNumberFormat="1" applyFont="1" applyFill="1" applyBorder="1" applyAlignment="1">
      <alignment vertical="top" wrapText="1"/>
    </xf>
    <xf numFmtId="4" fontId="2" fillId="0" borderId="22" xfId="0" applyNumberFormat="1" applyFont="1" applyFill="1" applyBorder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188" fontId="7" fillId="0" borderId="0" xfId="0" applyNumberFormat="1" applyFont="1" applyFill="1" applyAlignment="1">
      <alignment vertical="top" wrapText="1"/>
    </xf>
    <xf numFmtId="41" fontId="7" fillId="0" borderId="0" xfId="0" applyNumberFormat="1" applyFont="1" applyFill="1" applyAlignment="1">
      <alignment horizontal="right" vertical="top" wrapText="1"/>
    </xf>
    <xf numFmtId="41" fontId="7" fillId="0" borderId="0" xfId="0" applyNumberFormat="1" applyFont="1" applyFill="1" applyAlignment="1">
      <alignment vertical="top" wrapText="1"/>
    </xf>
    <xf numFmtId="4" fontId="7" fillId="0" borderId="0" xfId="0" applyNumberFormat="1" applyFont="1" applyFill="1" applyAlignment="1">
      <alignment vertical="top" wrapText="1"/>
    </xf>
    <xf numFmtId="2" fontId="7" fillId="0" borderId="0" xfId="0" applyNumberFormat="1" applyFont="1" applyFill="1" applyAlignment="1">
      <alignment horizontal="right" vertical="top" wrapText="1"/>
    </xf>
    <xf numFmtId="49" fontId="7" fillId="0" borderId="0" xfId="0" applyNumberFormat="1" applyFont="1" applyFill="1" applyAlignment="1">
      <alignment horizontal="right" vertical="top" wrapText="1"/>
    </xf>
    <xf numFmtId="2" fontId="7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horizontal="right" vertical="top" wrapText="1"/>
    </xf>
    <xf numFmtId="187" fontId="6" fillId="0" borderId="0" xfId="0" applyNumberFormat="1" applyFont="1" applyFill="1" applyAlignment="1">
      <alignment vertical="top" wrapText="1"/>
    </xf>
    <xf numFmtId="43" fontId="7" fillId="0" borderId="0" xfId="1" applyFont="1" applyFill="1" applyBorder="1" applyAlignment="1">
      <alignment vertical="top" wrapText="1"/>
    </xf>
    <xf numFmtId="191" fontId="7" fillId="0" borderId="0" xfId="0" applyNumberFormat="1" applyFont="1" applyFill="1" applyAlignment="1">
      <alignment horizontal="right" vertical="top" wrapText="1"/>
    </xf>
    <xf numFmtId="43" fontId="7" fillId="0" borderId="0" xfId="1" applyFont="1" applyFill="1" applyAlignment="1">
      <alignment vertical="top" wrapText="1"/>
    </xf>
    <xf numFmtId="187" fontId="7" fillId="0" borderId="0" xfId="0" applyNumberFormat="1" applyFont="1" applyFill="1" applyAlignment="1">
      <alignment vertical="top"/>
    </xf>
    <xf numFmtId="187" fontId="7" fillId="0" borderId="0" xfId="0" applyNumberFormat="1" applyFont="1" applyFill="1" applyAlignment="1">
      <alignment horizontal="right" vertical="top" wrapText="1"/>
    </xf>
    <xf numFmtId="43" fontId="8" fillId="0" borderId="0" xfId="0" applyNumberFormat="1" applyFont="1" applyFill="1" applyBorder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188" fontId="6" fillId="0" borderId="0" xfId="0" applyNumberFormat="1" applyFont="1" applyFill="1" applyAlignment="1">
      <alignment vertical="top" wrapText="1"/>
    </xf>
    <xf numFmtId="41" fontId="6" fillId="0" borderId="0" xfId="0" applyNumberFormat="1" applyFont="1" applyFill="1" applyAlignment="1">
      <alignment horizontal="right" vertical="top" wrapText="1"/>
    </xf>
    <xf numFmtId="41" fontId="6" fillId="0" borderId="0" xfId="0" applyNumberFormat="1" applyFont="1" applyFill="1" applyAlignment="1">
      <alignment vertical="top" wrapText="1"/>
    </xf>
    <xf numFmtId="43" fontId="6" fillId="0" borderId="0" xfId="1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43" fontId="6" fillId="0" borderId="0" xfId="1" applyFont="1" applyFill="1" applyBorder="1" applyAlignment="1">
      <alignment vertical="top" wrapText="1"/>
    </xf>
    <xf numFmtId="43" fontId="13" fillId="0" borderId="0" xfId="1" applyFont="1" applyFill="1" applyAlignment="1">
      <alignment vertical="top" wrapText="1"/>
    </xf>
    <xf numFmtId="41" fontId="13" fillId="0" borderId="0" xfId="0" applyNumberFormat="1" applyFont="1" applyFill="1" applyAlignment="1">
      <alignment horizontal="right" vertical="top" wrapText="1"/>
    </xf>
    <xf numFmtId="188" fontId="5" fillId="0" borderId="0" xfId="0" applyNumberFormat="1" applyFont="1" applyFill="1" applyAlignment="1">
      <alignment vertical="top" wrapText="1"/>
    </xf>
    <xf numFmtId="41" fontId="5" fillId="0" borderId="0" xfId="0" applyNumberFormat="1" applyFont="1" applyFill="1" applyAlignment="1">
      <alignment horizontal="right" vertical="top" wrapText="1"/>
    </xf>
    <xf numFmtId="41" fontId="5" fillId="0" borderId="0" xfId="0" applyNumberFormat="1" applyFont="1" applyFill="1" applyAlignment="1">
      <alignment vertical="top" wrapText="1"/>
    </xf>
    <xf numFmtId="187" fontId="5" fillId="0" borderId="0" xfId="0" applyNumberFormat="1" applyFont="1" applyFill="1" applyAlignment="1">
      <alignment vertical="top" wrapText="1"/>
    </xf>
    <xf numFmtId="41" fontId="16" fillId="0" borderId="0" xfId="0" applyNumberFormat="1" applyFont="1" applyFill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/>
    </xf>
    <xf numFmtId="189" fontId="5" fillId="0" borderId="16" xfId="0" applyNumberFormat="1" applyFont="1" applyFill="1" applyBorder="1" applyAlignment="1">
      <alignment horizontal="center" vertical="top" wrapText="1"/>
    </xf>
    <xf numFmtId="189" fontId="5" fillId="0" borderId="7" xfId="0" applyNumberFormat="1" applyFont="1" applyFill="1" applyBorder="1" applyAlignment="1">
      <alignment horizontal="center" vertical="top" wrapText="1"/>
    </xf>
    <xf numFmtId="189" fontId="5" fillId="0" borderId="17" xfId="0" applyNumberFormat="1" applyFont="1" applyFill="1" applyBorder="1" applyAlignment="1">
      <alignment horizontal="center" vertical="top" wrapText="1"/>
    </xf>
    <xf numFmtId="189" fontId="2" fillId="0" borderId="3" xfId="0" applyNumberFormat="1" applyFont="1" applyFill="1" applyBorder="1" applyAlignment="1">
      <alignment horizontal="left" vertical="top" wrapText="1"/>
    </xf>
    <xf numFmtId="1" fontId="2" fillId="0" borderId="22" xfId="0" applyNumberFormat="1" applyFont="1" applyFill="1" applyBorder="1" applyAlignment="1">
      <alignment horizontal="left" wrapText="1"/>
    </xf>
    <xf numFmtId="1" fontId="2" fillId="0" borderId="23" xfId="0" applyNumberFormat="1" applyFont="1" applyFill="1" applyBorder="1" applyAlignment="1">
      <alignment horizontal="left" wrapText="1"/>
    </xf>
    <xf numFmtId="1" fontId="2" fillId="0" borderId="18" xfId="0" applyNumberFormat="1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1" fontId="2" fillId="0" borderId="22" xfId="0" applyNumberFormat="1" applyFont="1" applyFill="1" applyBorder="1" applyAlignment="1">
      <alignment horizontal="left" vertical="top" wrapText="1"/>
    </xf>
    <xf numFmtId="1" fontId="2" fillId="0" borderId="23" xfId="0" applyNumberFormat="1" applyFont="1" applyFill="1" applyBorder="1" applyAlignment="1">
      <alignment horizontal="left" vertical="top" wrapText="1"/>
    </xf>
    <xf numFmtId="43" fontId="4" fillId="0" borderId="3" xfId="2" applyNumberFormat="1" applyFont="1" applyFill="1" applyBorder="1" applyAlignment="1">
      <alignment horizontal="center" vertical="center" wrapText="1"/>
    </xf>
    <xf numFmtId="187" fontId="4" fillId="0" borderId="3" xfId="2" applyNumberFormat="1" applyFont="1" applyFill="1" applyBorder="1" applyAlignment="1">
      <alignment horizontal="center" vertical="center" wrapText="1"/>
    </xf>
    <xf numFmtId="187" fontId="4" fillId="0" borderId="2" xfId="2" applyNumberFormat="1" applyFont="1" applyFill="1" applyBorder="1" applyAlignment="1">
      <alignment horizontal="center" vertical="center" wrapText="1"/>
    </xf>
    <xf numFmtId="187" fontId="4" fillId="0" borderId="7" xfId="2" applyNumberFormat="1" applyFont="1" applyFill="1" applyBorder="1" applyAlignment="1">
      <alignment horizontal="center" vertical="center" wrapText="1"/>
    </xf>
    <xf numFmtId="187" fontId="4" fillId="0" borderId="4" xfId="2" applyNumberFormat="1" applyFont="1" applyFill="1" applyBorder="1" applyAlignment="1">
      <alignment horizontal="center" vertical="center" wrapText="1"/>
    </xf>
    <xf numFmtId="187" fontId="4" fillId="0" borderId="5" xfId="2" applyNumberFormat="1" applyFont="1" applyFill="1" applyBorder="1" applyAlignment="1">
      <alignment horizontal="center" vertical="center" wrapText="1"/>
    </xf>
    <xf numFmtId="187" fontId="4" fillId="0" borderId="6" xfId="2" applyNumberFormat="1" applyFont="1" applyFill="1" applyBorder="1" applyAlignment="1">
      <alignment horizontal="center" vertical="center" wrapText="1"/>
    </xf>
    <xf numFmtId="187" fontId="4" fillId="0" borderId="8" xfId="2" applyNumberFormat="1" applyFont="1" applyFill="1" applyBorder="1" applyAlignment="1">
      <alignment horizontal="center" vertical="center" wrapText="1"/>
    </xf>
    <xf numFmtId="187" fontId="4" fillId="0" borderId="1" xfId="2" applyNumberFormat="1" applyFont="1" applyFill="1" applyBorder="1" applyAlignment="1">
      <alignment horizontal="center" vertical="center" wrapText="1"/>
    </xf>
    <xf numFmtId="187" fontId="4" fillId="0" borderId="9" xfId="2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 wrapText="1"/>
    </xf>
    <xf numFmtId="41" fontId="2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5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7" fillId="0" borderId="3" xfId="0" applyFont="1" applyBorder="1"/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8" fillId="0" borderId="22" xfId="0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/>
    <xf numFmtId="0" fontId="5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/>
    <xf numFmtId="0" fontId="8" fillId="0" borderId="3" xfId="0" applyFont="1" applyBorder="1" applyAlignment="1">
      <alignment horizontal="center" vertical="top" wrapText="1"/>
    </xf>
    <xf numFmtId="3" fontId="8" fillId="0" borderId="3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Font="1"/>
    <xf numFmtId="43" fontId="7" fillId="0" borderId="3" xfId="1" applyFont="1" applyBorder="1" applyAlignment="1">
      <alignment vertical="top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/>
    </xf>
    <xf numFmtId="0" fontId="7" fillId="0" borderId="6" xfId="0" applyFont="1" applyBorder="1"/>
    <xf numFmtId="43" fontId="8" fillId="0" borderId="3" xfId="0" applyNumberFormat="1" applyFont="1" applyBorder="1"/>
    <xf numFmtId="0" fontId="7" fillId="0" borderId="5" xfId="0" applyFont="1" applyBorder="1"/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8">
    <cellStyle name="Comma" xfId="1" builtinId="3"/>
    <cellStyle name="Comma 2" xfId="2"/>
    <cellStyle name="Comma 2 2" xfId="5"/>
    <cellStyle name="Comma 2 3" xfId="6"/>
    <cellStyle name="Comma 3" xfId="7"/>
    <cellStyle name="Comma 4" xfId="8"/>
    <cellStyle name="Comma 5" xfId="9"/>
    <cellStyle name="Normal" xfId="0" builtinId="0"/>
    <cellStyle name="Normal 2" xfId="10"/>
    <cellStyle name="Normal 3" xfId="11"/>
    <cellStyle name="เครื่องหมายจุลภาค 2" xfId="12"/>
    <cellStyle name="เครื่องหมายจุลภาค 3" xfId="13"/>
    <cellStyle name="เครื่องหมายจุลภาค 5 2" xfId="14"/>
    <cellStyle name="ปกติ 2" xfId="15"/>
    <cellStyle name="ปกติ 3" xfId="4"/>
    <cellStyle name="ปกติ 3 3 3" xfId="3"/>
    <cellStyle name="ปกติ 4" xfId="16"/>
    <cellStyle name="ปกติ 4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8;&#3640;&#3617;&#3618;&#3629;&#3604;&#3648;&#3610;&#3636;&#3585;&#3592;&#3656;&#3634;&#3618;/&#3607;&#3632;&#3648;&#3610;&#3637;&#3618;&#3609;&#3588;&#3640;&#3617;&#3648;&#3610;&#3636;&#3585;-&#3592;&#3656;&#3634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หัสงบประมาณ"/>
      <sheetName val="สนง.โยธา"/>
      <sheetName val="สำนัก13"/>
      <sheetName val="อ.เมืองปาน"/>
      <sheetName val="อ.งาว"/>
      <sheetName val="อ.แม่ทะ"/>
      <sheetName val="อ.แม่พริก"/>
      <sheetName val="อ.เถิน"/>
      <sheetName val="อ.เมืองลำปาง"/>
      <sheetName val="อ.แจ้ห่ม"/>
      <sheetName val="อ.เกาะคา"/>
      <sheetName val="อ.เสริมงาม"/>
      <sheetName val="อ.วังเหนือ"/>
      <sheetName val="อ.ห้างฉัตร"/>
      <sheetName val="อ.สบปราบ"/>
      <sheetName val="สนง.วัฒนธรรม"/>
      <sheetName val="สนง.พัฒนาชุมชน"/>
      <sheetName val="สถาบันพัฒนาฝีมือแรงงาน ภาค 10"/>
      <sheetName val="สนง.พลังงาน"/>
      <sheetName val="สนง.เกษตร"/>
      <sheetName val="สนง.สหกรณ์"/>
      <sheetName val="สนง.ปศุสัตว์"/>
      <sheetName val="สนง.ประมง"/>
      <sheetName val="สนง.เกษตรและสหกรณ์"/>
      <sheetName val="สนง.สาธารสุข- รพ.ลำปาง"/>
      <sheetName val="สนง.ทรัพยากรฯ"/>
      <sheetName val="ที่ทำการปกครองจังหวัดฯ"/>
      <sheetName val="สนจ.ลป"/>
      <sheetName val="ท่องเที่ยวและกีฬา"/>
      <sheetName val="ทรัพยากรป่าไม้ที่ 3 "/>
      <sheetName val="พาณิชย์จังหวัด"/>
      <sheetName val="สนง.ป้องกันและบรรเทาสาธารณภัย"/>
      <sheetName val="สนง.พัฒนาสังคมฯ"/>
      <sheetName val="สนง.อุตสาหกรรม"/>
      <sheetName val="ตำรวจภูธรจังหวัดลำปาง"/>
      <sheetName val="ยอดรวมรายหน่วย"/>
      <sheetName val="ผลการเบิกจ่ายจำแนกตามผลผลิต"/>
      <sheetName val="Sheet1"/>
      <sheetName val="จำแนกตามส่วนราชการ"/>
      <sheetName val="ผลการเบิกจ่ายแยกตามประเด็นยุทธ"/>
      <sheetName val="รายงาน มท ทุกวันที่ 5 ใหม่"/>
      <sheetName val="รายงาน มท ทุกวันที่ 5"/>
      <sheetName val="บัญชีโครงการ ผลผลิต ปรับปรุงแล้"/>
      <sheetName val="Sheet2"/>
    </sheetNames>
    <sheetDataSet>
      <sheetData sheetId="0"/>
      <sheetData sheetId="1">
        <row r="22">
          <cell r="H22">
            <v>3795005.17</v>
          </cell>
        </row>
      </sheetData>
      <sheetData sheetId="2">
        <row r="5">
          <cell r="I5">
            <v>350000</v>
          </cell>
        </row>
        <row r="16">
          <cell r="I16">
            <v>500000</v>
          </cell>
        </row>
        <row r="23">
          <cell r="I23">
            <v>485000</v>
          </cell>
        </row>
        <row r="32">
          <cell r="I32">
            <v>423300</v>
          </cell>
        </row>
        <row r="39">
          <cell r="I39">
            <v>732300</v>
          </cell>
        </row>
        <row r="45">
          <cell r="I45">
            <v>180000</v>
          </cell>
        </row>
      </sheetData>
      <sheetData sheetId="3">
        <row r="5">
          <cell r="H5">
            <v>1480000</v>
          </cell>
        </row>
        <row r="12">
          <cell r="H12">
            <v>530250</v>
          </cell>
        </row>
        <row r="18">
          <cell r="H18">
            <v>1540000</v>
          </cell>
        </row>
        <row r="25">
          <cell r="H25">
            <v>4528000</v>
          </cell>
        </row>
        <row r="34">
          <cell r="H34">
            <v>1646000</v>
          </cell>
        </row>
        <row r="41">
          <cell r="H41">
            <v>1835000</v>
          </cell>
        </row>
      </sheetData>
      <sheetData sheetId="4">
        <row r="5">
          <cell r="I5">
            <v>2300000</v>
          </cell>
        </row>
        <row r="11">
          <cell r="I11">
            <v>2650000</v>
          </cell>
        </row>
        <row r="18">
          <cell r="I18">
            <v>264000</v>
          </cell>
        </row>
        <row r="27">
          <cell r="I27">
            <v>788000</v>
          </cell>
        </row>
      </sheetData>
      <sheetData sheetId="5">
        <row r="5">
          <cell r="I5">
            <v>730000</v>
          </cell>
        </row>
        <row r="11">
          <cell r="I11">
            <v>1666207.66</v>
          </cell>
        </row>
        <row r="18">
          <cell r="I18">
            <v>1408000</v>
          </cell>
        </row>
        <row r="27">
          <cell r="I27">
            <v>1220000</v>
          </cell>
        </row>
        <row r="36">
          <cell r="I36">
            <v>0</v>
          </cell>
        </row>
        <row r="46">
          <cell r="I46">
            <v>920000</v>
          </cell>
        </row>
        <row r="54">
          <cell r="I54">
            <v>2140000</v>
          </cell>
        </row>
      </sheetData>
      <sheetData sheetId="6">
        <row r="5">
          <cell r="I5">
            <v>0</v>
          </cell>
        </row>
        <row r="11">
          <cell r="I11">
            <v>1302229.92</v>
          </cell>
        </row>
        <row r="18">
          <cell r="I18">
            <v>410000</v>
          </cell>
        </row>
        <row r="27">
          <cell r="I27">
            <v>574748.57999999996</v>
          </cell>
        </row>
      </sheetData>
      <sheetData sheetId="7">
        <row r="5">
          <cell r="I5">
            <v>1568000</v>
          </cell>
        </row>
        <row r="11">
          <cell r="I11">
            <v>1150000</v>
          </cell>
        </row>
        <row r="18">
          <cell r="I18">
            <v>481000</v>
          </cell>
        </row>
        <row r="24">
          <cell r="I24">
            <v>234000</v>
          </cell>
        </row>
      </sheetData>
      <sheetData sheetId="8">
        <row r="5">
          <cell r="I5">
            <v>0</v>
          </cell>
        </row>
        <row r="11">
          <cell r="I11">
            <v>854771</v>
          </cell>
        </row>
        <row r="16">
          <cell r="I16">
            <v>1099000</v>
          </cell>
        </row>
        <row r="22">
          <cell r="I22">
            <v>2985000</v>
          </cell>
        </row>
      </sheetData>
      <sheetData sheetId="9">
        <row r="5">
          <cell r="I5">
            <v>500000</v>
          </cell>
        </row>
        <row r="11">
          <cell r="I11">
            <v>1948000</v>
          </cell>
        </row>
        <row r="18">
          <cell r="I18">
            <v>640000</v>
          </cell>
        </row>
        <row r="25">
          <cell r="I25">
            <v>1825000</v>
          </cell>
        </row>
        <row r="32">
          <cell r="I32">
            <v>1100000</v>
          </cell>
        </row>
        <row r="39">
          <cell r="I39">
            <v>720000</v>
          </cell>
        </row>
      </sheetData>
      <sheetData sheetId="10">
        <row r="5">
          <cell r="I5">
            <v>430000</v>
          </cell>
        </row>
        <row r="11">
          <cell r="I11">
            <v>1598100</v>
          </cell>
        </row>
        <row r="17">
          <cell r="I17">
            <v>1018000</v>
          </cell>
        </row>
        <row r="23">
          <cell r="I23">
            <v>1751540</v>
          </cell>
        </row>
        <row r="30">
          <cell r="I30">
            <v>344000</v>
          </cell>
        </row>
      </sheetData>
      <sheetData sheetId="11">
        <row r="5">
          <cell r="I5">
            <v>2277000</v>
          </cell>
        </row>
        <row r="11">
          <cell r="I11">
            <v>1089000</v>
          </cell>
        </row>
        <row r="18">
          <cell r="I18">
            <v>480000</v>
          </cell>
        </row>
        <row r="26">
          <cell r="I26">
            <v>1311000</v>
          </cell>
        </row>
      </sheetData>
      <sheetData sheetId="12">
        <row r="5">
          <cell r="I5">
            <v>858000</v>
          </cell>
        </row>
        <row r="11">
          <cell r="I11">
            <v>1482300</v>
          </cell>
        </row>
        <row r="35">
          <cell r="I35">
            <v>499000</v>
          </cell>
        </row>
        <row r="41">
          <cell r="I41">
            <v>197000</v>
          </cell>
        </row>
      </sheetData>
      <sheetData sheetId="13">
        <row r="5">
          <cell r="I5">
            <v>570000</v>
          </cell>
        </row>
        <row r="11">
          <cell r="I11">
            <v>0</v>
          </cell>
        </row>
        <row r="17">
          <cell r="I17">
            <v>1650000</v>
          </cell>
        </row>
      </sheetData>
      <sheetData sheetId="14">
        <row r="5">
          <cell r="I5">
            <v>1640000</v>
          </cell>
        </row>
        <row r="11">
          <cell r="I11">
            <v>677700</v>
          </cell>
        </row>
        <row r="18">
          <cell r="I18">
            <v>478000</v>
          </cell>
        </row>
        <row r="25">
          <cell r="I25">
            <v>0</v>
          </cell>
        </row>
      </sheetData>
      <sheetData sheetId="15"/>
      <sheetData sheetId="16">
        <row r="5">
          <cell r="I5">
            <v>250000</v>
          </cell>
        </row>
      </sheetData>
      <sheetData sheetId="17">
        <row r="5">
          <cell r="I5">
            <v>1240986</v>
          </cell>
        </row>
      </sheetData>
      <sheetData sheetId="18">
        <row r="5">
          <cell r="H5">
            <v>300000</v>
          </cell>
        </row>
      </sheetData>
      <sheetData sheetId="19">
        <row r="69">
          <cell r="I69">
            <v>432223.35000000003</v>
          </cell>
        </row>
        <row r="88">
          <cell r="I88">
            <v>1155081.69</v>
          </cell>
        </row>
      </sheetData>
      <sheetData sheetId="20">
        <row r="5">
          <cell r="I5">
            <v>0</v>
          </cell>
        </row>
        <row r="12">
          <cell r="I12">
            <v>672000</v>
          </cell>
        </row>
        <row r="21">
          <cell r="I21">
            <v>1299000</v>
          </cell>
        </row>
      </sheetData>
      <sheetData sheetId="21"/>
      <sheetData sheetId="22">
        <row r="5">
          <cell r="I5">
            <v>491990</v>
          </cell>
        </row>
      </sheetData>
      <sheetData sheetId="23">
        <row r="5">
          <cell r="I5">
            <v>238220</v>
          </cell>
        </row>
      </sheetData>
      <sheetData sheetId="24">
        <row r="5">
          <cell r="I5">
            <v>45815000</v>
          </cell>
        </row>
      </sheetData>
      <sheetData sheetId="25"/>
      <sheetData sheetId="26">
        <row r="20">
          <cell r="I20">
            <v>2519000</v>
          </cell>
        </row>
      </sheetData>
      <sheetData sheetId="27">
        <row r="6">
          <cell r="I6">
            <v>3380000</v>
          </cell>
        </row>
        <row r="16">
          <cell r="I16">
            <v>1235000</v>
          </cell>
        </row>
        <row r="26">
          <cell r="I26">
            <v>4910000</v>
          </cell>
        </row>
      </sheetData>
      <sheetData sheetId="28">
        <row r="6">
          <cell r="G6">
            <v>0</v>
          </cell>
        </row>
        <row r="16">
          <cell r="G1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>
        <row r="7">
          <cell r="R7">
            <v>3052994.83</v>
          </cell>
        </row>
        <row r="8">
          <cell r="R8">
            <v>2085000</v>
          </cell>
        </row>
        <row r="15">
          <cell r="Q15">
            <v>584800</v>
          </cell>
        </row>
        <row r="17">
          <cell r="R17">
            <v>465000</v>
          </cell>
        </row>
        <row r="22">
          <cell r="Q22">
            <v>772500</v>
          </cell>
        </row>
        <row r="25">
          <cell r="R25"/>
        </row>
        <row r="31">
          <cell r="R31"/>
        </row>
        <row r="34">
          <cell r="Q34">
            <v>0</v>
          </cell>
        </row>
        <row r="36">
          <cell r="R36">
            <v>3000</v>
          </cell>
        </row>
        <row r="41">
          <cell r="R41"/>
        </row>
        <row r="45">
          <cell r="R45"/>
        </row>
        <row r="51">
          <cell r="Q51">
            <v>1940000</v>
          </cell>
        </row>
        <row r="59">
          <cell r="R59"/>
        </row>
        <row r="61">
          <cell r="Q61">
            <v>749000</v>
          </cell>
        </row>
        <row r="64">
          <cell r="Q64">
            <v>1789000</v>
          </cell>
        </row>
        <row r="65">
          <cell r="R65"/>
        </row>
        <row r="67">
          <cell r="Q67">
            <v>466000</v>
          </cell>
        </row>
        <row r="68">
          <cell r="Q68">
            <v>0</v>
          </cell>
        </row>
        <row r="70">
          <cell r="R70">
            <v>54000</v>
          </cell>
        </row>
        <row r="72">
          <cell r="Q72">
            <v>491000</v>
          </cell>
          <cell r="R72"/>
        </row>
        <row r="73">
          <cell r="Q73">
            <v>0</v>
          </cell>
        </row>
        <row r="74">
          <cell r="Q74">
            <v>0</v>
          </cell>
        </row>
        <row r="75">
          <cell r="I75">
            <v>0</v>
          </cell>
        </row>
        <row r="79">
          <cell r="R79"/>
        </row>
        <row r="80">
          <cell r="Q80">
            <v>340000</v>
          </cell>
        </row>
        <row r="81">
          <cell r="Q81">
            <v>640000</v>
          </cell>
        </row>
        <row r="82">
          <cell r="Q82">
            <v>446000</v>
          </cell>
        </row>
        <row r="83">
          <cell r="Q83">
            <v>500000</v>
          </cell>
        </row>
        <row r="85">
          <cell r="Q85">
            <v>570900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91">
          <cell r="Q91">
            <v>5265292.2899999991</v>
          </cell>
          <cell r="R91">
            <v>3000</v>
          </cell>
        </row>
        <row r="94">
          <cell r="Q94">
            <v>439893</v>
          </cell>
        </row>
        <row r="95">
          <cell r="Q95">
            <v>667005.19999999995</v>
          </cell>
        </row>
        <row r="98">
          <cell r="R98">
            <v>201000</v>
          </cell>
        </row>
        <row r="99">
          <cell r="Q99">
            <v>245960</v>
          </cell>
        </row>
        <row r="100">
          <cell r="Q100">
            <v>0</v>
          </cell>
        </row>
        <row r="101">
          <cell r="R101">
            <v>1750</v>
          </cell>
        </row>
        <row r="102">
          <cell r="R102">
            <v>1750</v>
          </cell>
        </row>
        <row r="103">
          <cell r="Q103">
            <v>565000</v>
          </cell>
        </row>
        <row r="104">
          <cell r="Q104">
            <v>590000</v>
          </cell>
        </row>
        <row r="105">
          <cell r="Q105">
            <v>720000</v>
          </cell>
        </row>
        <row r="106">
          <cell r="Q106">
            <v>20000</v>
          </cell>
        </row>
        <row r="107">
          <cell r="Q107">
            <v>0</v>
          </cell>
        </row>
        <row r="111">
          <cell r="Q111">
            <v>1620800</v>
          </cell>
        </row>
        <row r="112">
          <cell r="Q112">
            <v>3352096.0900000003</v>
          </cell>
        </row>
        <row r="113">
          <cell r="Q113">
            <v>5611409</v>
          </cell>
          <cell r="R113">
            <v>474650</v>
          </cell>
        </row>
        <row r="114">
          <cell r="R114">
            <v>281000</v>
          </cell>
        </row>
        <row r="118">
          <cell r="Q118">
            <v>6044566.75</v>
          </cell>
        </row>
        <row r="119">
          <cell r="Q119">
            <v>1030567</v>
          </cell>
        </row>
        <row r="120">
          <cell r="Q120">
            <v>510000</v>
          </cell>
        </row>
        <row r="122">
          <cell r="R122">
            <v>966000</v>
          </cell>
        </row>
        <row r="123">
          <cell r="Q123">
            <v>300000</v>
          </cell>
        </row>
        <row r="124">
          <cell r="Q124">
            <v>0</v>
          </cell>
        </row>
        <row r="125">
          <cell r="Q125">
            <v>1818225</v>
          </cell>
        </row>
        <row r="126">
          <cell r="Q126">
            <v>248200</v>
          </cell>
        </row>
        <row r="127">
          <cell r="Q127">
            <v>427601</v>
          </cell>
        </row>
        <row r="128">
          <cell r="Q128">
            <v>270798</v>
          </cell>
        </row>
        <row r="129">
          <cell r="Q129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3"/>
  <sheetViews>
    <sheetView tabSelected="1" zoomScale="70" zoomScaleNormal="70" workbookViewId="0">
      <selection activeCell="AF8" sqref="AF8"/>
    </sheetView>
  </sheetViews>
  <sheetFormatPr defaultColWidth="9" defaultRowHeight="21" x14ac:dyDescent="0.2"/>
  <cols>
    <col min="1" max="1" width="6.25" style="153" customWidth="1"/>
    <col min="2" max="2" width="21.625" style="6" hidden="1" customWidth="1"/>
    <col min="3" max="3" width="75.625" style="6" customWidth="1"/>
    <col min="4" max="4" width="27.625" style="255" customWidth="1"/>
    <col min="5" max="5" width="16.875" style="256" bestFit="1" customWidth="1"/>
    <col min="6" max="7" width="12.875" style="255" hidden="1" customWidth="1"/>
    <col min="8" max="8" width="15.375" style="255" hidden="1" customWidth="1"/>
    <col min="9" max="9" width="11.875" style="257" hidden="1" customWidth="1"/>
    <col min="10" max="10" width="13.25" style="255" hidden="1" customWidth="1"/>
    <col min="11" max="11" width="15.75" style="6" hidden="1" customWidth="1"/>
    <col min="12" max="12" width="16.875" style="6" hidden="1" customWidth="1"/>
    <col min="13" max="13" width="15.75" style="6" hidden="1" customWidth="1"/>
    <col min="14" max="14" width="12.625" style="258" hidden="1" customWidth="1"/>
    <col min="15" max="21" width="15.375" style="258" hidden="1" customWidth="1"/>
    <col min="22" max="22" width="17.75" style="6" customWidth="1"/>
    <col min="23" max="23" width="13.625" style="6" hidden="1" customWidth="1"/>
    <col min="24" max="24" width="11.125" style="6" hidden="1" customWidth="1"/>
    <col min="25" max="25" width="10.5" style="7" hidden="1" customWidth="1"/>
    <col min="26" max="26" width="12.125" style="6" hidden="1" customWidth="1"/>
    <col min="27" max="27" width="13" style="6" hidden="1" customWidth="1"/>
    <col min="28" max="28" width="10.875" style="6" hidden="1" customWidth="1"/>
    <col min="29" max="16384" width="9" style="6"/>
  </cols>
  <sheetData>
    <row r="1" spans="1:28" s="16" customFormat="1" ht="21" customHeight="1" x14ac:dyDescent="0.2">
      <c r="A1" s="283" t="s">
        <v>340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Y1" s="17"/>
    </row>
    <row r="2" spans="1:28" s="16" customFormat="1" ht="21" customHeight="1" x14ac:dyDescent="0.2">
      <c r="A2" s="284" t="s">
        <v>341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Y2" s="17"/>
    </row>
    <row r="3" spans="1:28" s="16" customFormat="1" x14ac:dyDescent="0.2">
      <c r="A3" s="285"/>
      <c r="B3" s="285"/>
      <c r="C3" s="285"/>
      <c r="D3" s="285"/>
      <c r="E3" s="285"/>
      <c r="F3" s="285"/>
      <c r="G3" s="285"/>
      <c r="H3" s="285"/>
      <c r="I3" s="285"/>
      <c r="J3" s="285"/>
      <c r="N3" s="119"/>
      <c r="O3" s="119"/>
      <c r="P3" s="119"/>
      <c r="Q3" s="119"/>
      <c r="R3" s="119"/>
      <c r="S3" s="119"/>
      <c r="T3" s="119"/>
      <c r="U3" s="119"/>
      <c r="V3" s="120">
        <v>241254</v>
      </c>
      <c r="Y3" s="17"/>
    </row>
    <row r="4" spans="1:28" s="16" customFormat="1" ht="24" customHeight="1" x14ac:dyDescent="0.2">
      <c r="A4" s="286" t="s">
        <v>0</v>
      </c>
      <c r="B4" s="288" t="s">
        <v>1</v>
      </c>
      <c r="C4" s="288" t="s">
        <v>2</v>
      </c>
      <c r="D4" s="288" t="s">
        <v>3</v>
      </c>
      <c r="E4" s="290" t="s">
        <v>4</v>
      </c>
      <c r="F4" s="352" t="s">
        <v>5</v>
      </c>
      <c r="G4" s="353"/>
      <c r="H4" s="353"/>
      <c r="I4" s="353"/>
      <c r="J4" s="354"/>
      <c r="K4" s="272" t="s">
        <v>6</v>
      </c>
      <c r="L4" s="272" t="s">
        <v>7</v>
      </c>
      <c r="M4" s="272" t="s">
        <v>8</v>
      </c>
      <c r="N4" s="273" t="s">
        <v>9</v>
      </c>
      <c r="O4" s="274" t="s">
        <v>10</v>
      </c>
      <c r="P4" s="276" t="s">
        <v>11</v>
      </c>
      <c r="Q4" s="277"/>
      <c r="R4" s="277"/>
      <c r="S4" s="277"/>
      <c r="T4" s="277"/>
      <c r="U4" s="278"/>
      <c r="V4" s="282" t="s">
        <v>12</v>
      </c>
      <c r="Y4" s="17"/>
    </row>
    <row r="5" spans="1:28" s="123" customFormat="1" ht="82.5" customHeight="1" x14ac:dyDescent="0.2">
      <c r="A5" s="287"/>
      <c r="B5" s="289"/>
      <c r="C5" s="289"/>
      <c r="D5" s="289"/>
      <c r="E5" s="291"/>
      <c r="F5" s="121" t="s">
        <v>13</v>
      </c>
      <c r="G5" s="121" t="s">
        <v>14</v>
      </c>
      <c r="H5" s="121" t="s">
        <v>15</v>
      </c>
      <c r="I5" s="122" t="s">
        <v>16</v>
      </c>
      <c r="J5" s="121" t="s">
        <v>17</v>
      </c>
      <c r="K5" s="272"/>
      <c r="L5" s="272"/>
      <c r="M5" s="272"/>
      <c r="N5" s="273"/>
      <c r="O5" s="275"/>
      <c r="P5" s="279"/>
      <c r="Q5" s="280"/>
      <c r="R5" s="280"/>
      <c r="S5" s="280"/>
      <c r="T5" s="280"/>
      <c r="U5" s="281"/>
      <c r="V5" s="282"/>
      <c r="W5" s="123" t="s">
        <v>18</v>
      </c>
      <c r="X5" s="123" t="s">
        <v>19</v>
      </c>
      <c r="Y5" s="124" t="s">
        <v>20</v>
      </c>
      <c r="Z5" s="123" t="s">
        <v>21</v>
      </c>
      <c r="AA5" s="123" t="s">
        <v>22</v>
      </c>
      <c r="AB5" s="123" t="s">
        <v>23</v>
      </c>
    </row>
    <row r="6" spans="1:28" x14ac:dyDescent="0.2">
      <c r="A6" s="260" t="s">
        <v>24</v>
      </c>
      <c r="B6" s="260"/>
      <c r="C6" s="260"/>
      <c r="D6" s="260"/>
      <c r="E6" s="125">
        <f>E9+E18+E47+E58+E61+E64+E70+E77+E88+E102</f>
        <v>109848500</v>
      </c>
      <c r="F6" s="126"/>
      <c r="G6" s="126"/>
      <c r="H6" s="126"/>
      <c r="I6" s="126"/>
      <c r="J6" s="126"/>
      <c r="K6" s="126">
        <f>K9+K18+K47+K58+K61+K64+K70+K77+K88+K102</f>
        <v>71689705.079999998</v>
      </c>
      <c r="L6" s="126">
        <f>E6-K6-M6</f>
        <v>37924430.010000005</v>
      </c>
      <c r="M6" s="126">
        <f>M9+M18+M47+M58+M61+M64+M70+M77+M88+M102</f>
        <v>234364.91</v>
      </c>
      <c r="N6" s="126">
        <f>K6*100/E6</f>
        <v>65.262343209056112</v>
      </c>
      <c r="O6" s="126"/>
      <c r="P6" s="126"/>
      <c r="Q6" s="126"/>
      <c r="R6" s="126"/>
      <c r="S6" s="126"/>
      <c r="T6" s="126"/>
      <c r="U6" s="126"/>
      <c r="V6" s="127"/>
    </row>
    <row r="7" spans="1:28" ht="63" x14ac:dyDescent="0.2">
      <c r="A7" s="11">
        <v>1</v>
      </c>
      <c r="B7" s="32"/>
      <c r="C7" s="12" t="s">
        <v>25</v>
      </c>
      <c r="D7" s="28"/>
      <c r="E7" s="52"/>
      <c r="F7" s="53"/>
      <c r="G7" s="53"/>
      <c r="H7" s="53"/>
      <c r="I7" s="53"/>
      <c r="J7" s="128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32"/>
    </row>
    <row r="8" spans="1:28" ht="189" x14ac:dyDescent="0.2">
      <c r="A8" s="80">
        <v>1.1000000000000001</v>
      </c>
      <c r="B8" s="24"/>
      <c r="C8" s="24" t="s">
        <v>26</v>
      </c>
      <c r="D8" s="35" t="s">
        <v>27</v>
      </c>
      <c r="E8" s="60">
        <v>13313000</v>
      </c>
      <c r="F8" s="23"/>
      <c r="G8" s="23"/>
      <c r="H8" s="23"/>
      <c r="I8" s="23"/>
      <c r="J8" s="129"/>
      <c r="K8" s="23">
        <f>[1]สนง.โยธา!H22</f>
        <v>3795005.17</v>
      </c>
      <c r="L8" s="23">
        <f>E8-K8-M8-O8</f>
        <v>4380000</v>
      </c>
      <c r="M8" s="23">
        <f>[1]ยอดรวมรายหน่วย!R7+[1]ยอดรวมรายหน่วย!R8-O8</f>
        <v>0</v>
      </c>
      <c r="N8" s="23">
        <f>K8*100/E8</f>
        <v>28.506010440922406</v>
      </c>
      <c r="O8" s="23">
        <f>S8</f>
        <v>5137994.83</v>
      </c>
      <c r="P8" s="23"/>
      <c r="Q8" s="23"/>
      <c r="R8" s="23"/>
      <c r="S8" s="23">
        <f>641900+1337000+1074094.83+215905.17+1869094.83</f>
        <v>5137994.83</v>
      </c>
      <c r="T8" s="23"/>
      <c r="U8" s="23"/>
      <c r="V8" s="24"/>
    </row>
    <row r="9" spans="1:28" s="16" customFormat="1" x14ac:dyDescent="0.2">
      <c r="A9" s="130"/>
      <c r="B9" s="131"/>
      <c r="C9" s="132" t="s">
        <v>28</v>
      </c>
      <c r="D9" s="133"/>
      <c r="E9" s="134">
        <f>SUM(E8:E8)</f>
        <v>13313000</v>
      </c>
      <c r="F9" s="71"/>
      <c r="G9" s="71"/>
      <c r="H9" s="71"/>
      <c r="I9" s="71"/>
      <c r="J9" s="135"/>
      <c r="K9" s="71">
        <f>SUM(K8)</f>
        <v>3795005.17</v>
      </c>
      <c r="L9" s="71">
        <f>E9-K9</f>
        <v>9517994.8300000001</v>
      </c>
      <c r="M9" s="71">
        <f>SUM(M8)</f>
        <v>0</v>
      </c>
      <c r="N9" s="71">
        <f>K9*100/E9</f>
        <v>28.506010440922406</v>
      </c>
      <c r="O9" s="71"/>
      <c r="P9" s="71"/>
      <c r="Q9" s="71"/>
      <c r="R9" s="71"/>
      <c r="S9" s="71"/>
      <c r="T9" s="71"/>
      <c r="U9" s="71"/>
      <c r="V9" s="131"/>
      <c r="Y9" s="17"/>
    </row>
    <row r="10" spans="1:28" ht="42" x14ac:dyDescent="0.2">
      <c r="A10" s="113">
        <v>2</v>
      </c>
      <c r="B10" s="32"/>
      <c r="C10" s="13" t="s">
        <v>29</v>
      </c>
      <c r="D10" s="28"/>
      <c r="E10" s="14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32"/>
    </row>
    <row r="11" spans="1:28" ht="336" x14ac:dyDescent="0.2">
      <c r="A11" s="80">
        <v>2.1</v>
      </c>
      <c r="B11" s="24"/>
      <c r="C11" s="24" t="s">
        <v>30</v>
      </c>
      <c r="D11" s="35" t="s">
        <v>31</v>
      </c>
      <c r="E11" s="60">
        <v>6435000</v>
      </c>
      <c r="F11" s="23"/>
      <c r="G11" s="23"/>
      <c r="H11" s="23"/>
      <c r="I11" s="23"/>
      <c r="J11" s="23"/>
      <c r="K11" s="23">
        <f>[1]สำนัก13!I45+[1]สำนัก13!I39+[1]สำนัก13!I32+[1]สำนัก13!I23+[1]สำนัก13!I16+[1]สำนัก13!I5</f>
        <v>2670600</v>
      </c>
      <c r="L11" s="23">
        <f>E11-K11-M11-O11</f>
        <v>3466400</v>
      </c>
      <c r="M11" s="23">
        <f>(15000+95000+84000+104000)-O11</f>
        <v>217094.83000000002</v>
      </c>
      <c r="N11" s="23">
        <f>K11*100/E11</f>
        <v>41.501165501165502</v>
      </c>
      <c r="O11" s="23">
        <f>S11+T11+U11</f>
        <v>80905.17</v>
      </c>
      <c r="P11" s="23"/>
      <c r="Q11" s="23"/>
      <c r="R11" s="23"/>
      <c r="S11" s="23">
        <f>80905.17</f>
        <v>80905.17</v>
      </c>
      <c r="T11" s="23"/>
      <c r="U11" s="23"/>
      <c r="V11" s="24"/>
    </row>
    <row r="12" spans="1:28" ht="105" x14ac:dyDescent="0.2">
      <c r="A12" s="80">
        <v>2.2000000000000002</v>
      </c>
      <c r="B12" s="24"/>
      <c r="C12" s="24" t="s">
        <v>32</v>
      </c>
      <c r="D12" s="35" t="s">
        <v>33</v>
      </c>
      <c r="E12" s="60">
        <v>1937000</v>
      </c>
      <c r="F12" s="23"/>
      <c r="G12" s="23"/>
      <c r="H12" s="23"/>
      <c r="I12" s="23"/>
      <c r="J12" s="23"/>
      <c r="K12" s="23">
        <f>[1]อ.เมืองปาน!H5</f>
        <v>1480000</v>
      </c>
      <c r="L12" s="23">
        <f>E12-K12-M12-O12</f>
        <v>0</v>
      </c>
      <c r="M12" s="23">
        <f>457000-O12</f>
        <v>0</v>
      </c>
      <c r="N12" s="23">
        <f t="shared" ref="N12:N17" si="0">K12*100/E12</f>
        <v>76.406814661848216</v>
      </c>
      <c r="O12" s="23">
        <f>P12</f>
        <v>457000</v>
      </c>
      <c r="P12" s="23">
        <v>457000</v>
      </c>
      <c r="Q12" s="23"/>
      <c r="R12" s="23"/>
      <c r="S12" s="23"/>
      <c r="T12" s="23"/>
      <c r="U12" s="23"/>
      <c r="V12" s="24"/>
    </row>
    <row r="13" spans="1:28" ht="126" x14ac:dyDescent="0.2">
      <c r="A13" s="80">
        <v>2.2999999999999998</v>
      </c>
      <c r="B13" s="24"/>
      <c r="C13" s="24" t="s">
        <v>34</v>
      </c>
      <c r="D13" s="35" t="s">
        <v>35</v>
      </c>
      <c r="E13" s="60">
        <v>2500000</v>
      </c>
      <c r="F13" s="23"/>
      <c r="G13" s="23"/>
      <c r="H13" s="23"/>
      <c r="I13" s="23"/>
      <c r="J13" s="23"/>
      <c r="K13" s="23">
        <f>[1]อ.งาว!I5</f>
        <v>2300000</v>
      </c>
      <c r="L13" s="23">
        <f>E13-K13-M13-O13</f>
        <v>0</v>
      </c>
      <c r="M13" s="23"/>
      <c r="N13" s="23">
        <f t="shared" si="0"/>
        <v>92</v>
      </c>
      <c r="O13" s="23">
        <f>P13</f>
        <v>200000</v>
      </c>
      <c r="P13" s="23">
        <v>200000</v>
      </c>
      <c r="Q13" s="23"/>
      <c r="R13" s="23"/>
      <c r="S13" s="23"/>
      <c r="T13" s="23"/>
      <c r="U13" s="23"/>
      <c r="V13" s="24"/>
    </row>
    <row r="14" spans="1:28" ht="105" x14ac:dyDescent="0.2">
      <c r="A14" s="80">
        <v>2.4</v>
      </c>
      <c r="B14" s="24"/>
      <c r="C14" s="24" t="s">
        <v>36</v>
      </c>
      <c r="D14" s="35" t="s">
        <v>35</v>
      </c>
      <c r="E14" s="60">
        <v>3000000</v>
      </c>
      <c r="F14" s="23"/>
      <c r="G14" s="23"/>
      <c r="H14" s="23"/>
      <c r="I14" s="23"/>
      <c r="J14" s="23"/>
      <c r="K14" s="23">
        <f>[1]อ.งาว!I11</f>
        <v>2650000</v>
      </c>
      <c r="L14" s="23">
        <f>E14-K14-M14-O14</f>
        <v>0</v>
      </c>
      <c r="M14" s="23"/>
      <c r="N14" s="23">
        <f t="shared" si="0"/>
        <v>88.333333333333329</v>
      </c>
      <c r="O14" s="23">
        <f>P14</f>
        <v>350000</v>
      </c>
      <c r="P14" s="23">
        <v>350000</v>
      </c>
      <c r="Q14" s="23"/>
      <c r="R14" s="23"/>
      <c r="S14" s="23"/>
      <c r="T14" s="23"/>
      <c r="U14" s="23"/>
      <c r="V14" s="24"/>
    </row>
    <row r="15" spans="1:28" ht="149.25" customHeight="1" x14ac:dyDescent="0.2">
      <c r="A15" s="80">
        <v>2.5</v>
      </c>
      <c r="B15" s="24"/>
      <c r="C15" s="24" t="s">
        <v>37</v>
      </c>
      <c r="D15" s="35" t="s">
        <v>35</v>
      </c>
      <c r="E15" s="60">
        <v>264000</v>
      </c>
      <c r="F15" s="23"/>
      <c r="G15" s="23"/>
      <c r="H15" s="23"/>
      <c r="I15" s="23"/>
      <c r="J15" s="23"/>
      <c r="K15" s="23">
        <f>[1]อ.งาว!I18</f>
        <v>264000</v>
      </c>
      <c r="L15" s="23">
        <f t="shared" ref="L15:L16" si="1">E15-K15-M15</f>
        <v>0</v>
      </c>
      <c r="M15" s="23">
        <f>[1]ยอดรวมรายหน่วย!R25</f>
        <v>0</v>
      </c>
      <c r="N15" s="23">
        <f t="shared" si="0"/>
        <v>100</v>
      </c>
      <c r="O15" s="23"/>
      <c r="P15" s="23"/>
      <c r="Q15" s="23"/>
      <c r="R15" s="23"/>
      <c r="S15" s="23"/>
      <c r="T15" s="23"/>
      <c r="U15" s="23"/>
      <c r="V15" s="24"/>
    </row>
    <row r="16" spans="1:28" ht="63" x14ac:dyDescent="0.2">
      <c r="A16" s="80">
        <v>2.6</v>
      </c>
      <c r="B16" s="24"/>
      <c r="C16" s="24" t="s">
        <v>38</v>
      </c>
      <c r="D16" s="35" t="s">
        <v>39</v>
      </c>
      <c r="E16" s="60">
        <v>446000</v>
      </c>
      <c r="F16" s="23"/>
      <c r="G16" s="23"/>
      <c r="H16" s="23"/>
      <c r="I16" s="23"/>
      <c r="J16" s="23"/>
      <c r="K16" s="23">
        <f>[1]ยอดรวมรายหน่วย!Q82</f>
        <v>446000</v>
      </c>
      <c r="L16" s="23">
        <f t="shared" si="1"/>
        <v>0</v>
      </c>
      <c r="M16" s="23"/>
      <c r="N16" s="23">
        <f t="shared" si="0"/>
        <v>100</v>
      </c>
      <c r="O16" s="23"/>
      <c r="P16" s="23"/>
      <c r="Q16" s="23"/>
      <c r="R16" s="23"/>
      <c r="S16" s="23"/>
      <c r="T16" s="23"/>
      <c r="U16" s="23"/>
      <c r="V16" s="24"/>
    </row>
    <row r="17" spans="1:25" ht="84" x14ac:dyDescent="0.2">
      <c r="A17" s="80">
        <v>2.7</v>
      </c>
      <c r="B17" s="24"/>
      <c r="C17" s="24" t="s">
        <v>40</v>
      </c>
      <c r="D17" s="35" t="s">
        <v>41</v>
      </c>
      <c r="E17" s="60">
        <v>733000</v>
      </c>
      <c r="F17" s="23"/>
      <c r="G17" s="23"/>
      <c r="H17" s="23"/>
      <c r="I17" s="23"/>
      <c r="J17" s="23"/>
      <c r="K17" s="23">
        <f>[1]อ.แม่ทะ!I5</f>
        <v>730000</v>
      </c>
      <c r="L17" s="23">
        <f>E17-K17-M17-O17</f>
        <v>0</v>
      </c>
      <c r="M17" s="23">
        <v>3000</v>
      </c>
      <c r="N17" s="23">
        <f t="shared" si="0"/>
        <v>99.590723055934518</v>
      </c>
      <c r="O17" s="23">
        <f>U17</f>
        <v>0</v>
      </c>
      <c r="P17" s="23"/>
      <c r="Q17" s="23"/>
      <c r="R17" s="23"/>
      <c r="S17" s="23"/>
      <c r="T17" s="23"/>
      <c r="U17" s="23"/>
      <c r="V17" s="24"/>
    </row>
    <row r="18" spans="1:25" s="16" customFormat="1" x14ac:dyDescent="0.2">
      <c r="A18" s="136"/>
      <c r="B18" s="137"/>
      <c r="C18" s="138" t="s">
        <v>42</v>
      </c>
      <c r="D18" s="139"/>
      <c r="E18" s="140">
        <f>SUM(E11:E17)</f>
        <v>15315000</v>
      </c>
      <c r="F18" s="141"/>
      <c r="G18" s="141"/>
      <c r="H18" s="141"/>
      <c r="I18" s="141"/>
      <c r="J18" s="141"/>
      <c r="K18" s="141">
        <f>SUM(K11:K17)</f>
        <v>10540600</v>
      </c>
      <c r="L18" s="141">
        <f>E18-K18-M18</f>
        <v>4554305.17</v>
      </c>
      <c r="M18" s="141">
        <f>SUM(M11:M17)</f>
        <v>220094.83000000002</v>
      </c>
      <c r="N18" s="141">
        <f>K18*100/E18</f>
        <v>68.82533463924257</v>
      </c>
      <c r="O18" s="141"/>
      <c r="P18" s="141"/>
      <c r="Q18" s="141"/>
      <c r="R18" s="141"/>
      <c r="S18" s="141"/>
      <c r="T18" s="141"/>
      <c r="U18" s="141"/>
      <c r="V18" s="137"/>
      <c r="Y18" s="17"/>
    </row>
    <row r="19" spans="1:25" ht="42" x14ac:dyDescent="0.2">
      <c r="A19" s="113">
        <v>3</v>
      </c>
      <c r="B19" s="32"/>
      <c r="C19" s="13" t="s">
        <v>43</v>
      </c>
      <c r="D19" s="28"/>
      <c r="E19" s="1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32"/>
    </row>
    <row r="20" spans="1:25" ht="105" x14ac:dyDescent="0.2">
      <c r="A20" s="142">
        <v>3.1</v>
      </c>
      <c r="B20" s="143"/>
      <c r="C20" s="144" t="s">
        <v>44</v>
      </c>
      <c r="D20" s="145" t="s">
        <v>45</v>
      </c>
      <c r="E20" s="146">
        <v>1087000</v>
      </c>
      <c r="F20" s="147"/>
      <c r="G20" s="147"/>
      <c r="H20" s="147"/>
      <c r="I20" s="147"/>
      <c r="J20" s="147"/>
      <c r="K20" s="147">
        <f>[1]อ.แม่พริก!I5</f>
        <v>0</v>
      </c>
      <c r="L20" s="147">
        <f t="shared" ref="L20:L37" si="2">E20-K20-M20</f>
        <v>1087000</v>
      </c>
      <c r="M20" s="147"/>
      <c r="N20" s="147">
        <f t="shared" ref="N20:N47" si="3">K20*100/E20</f>
        <v>0</v>
      </c>
      <c r="O20" s="147"/>
      <c r="P20" s="147"/>
      <c r="Q20" s="147"/>
      <c r="R20" s="147"/>
      <c r="S20" s="147"/>
      <c r="T20" s="147"/>
      <c r="U20" s="147"/>
      <c r="V20" s="144" t="s">
        <v>46</v>
      </c>
    </row>
    <row r="21" spans="1:25" ht="105" x14ac:dyDescent="0.2">
      <c r="A21" s="80">
        <v>3.2</v>
      </c>
      <c r="B21" s="88"/>
      <c r="C21" s="24" t="s">
        <v>47</v>
      </c>
      <c r="D21" s="35" t="s">
        <v>45</v>
      </c>
      <c r="E21" s="60">
        <v>1986000</v>
      </c>
      <c r="F21" s="23"/>
      <c r="G21" s="23"/>
      <c r="H21" s="23"/>
      <c r="I21" s="23"/>
      <c r="J21" s="23"/>
      <c r="K21" s="23">
        <f>[1]อ.แม่พริก!I11</f>
        <v>1302229.92</v>
      </c>
      <c r="L21" s="148">
        <f>E21-K21-O21-M21</f>
        <v>7.4578565545380116E-11</v>
      </c>
      <c r="M21" s="147">
        <f>7770.08</f>
        <v>7770.08</v>
      </c>
      <c r="N21" s="23">
        <f t="shared" si="3"/>
        <v>65.570489425981876</v>
      </c>
      <c r="O21" s="23">
        <v>676000</v>
      </c>
      <c r="P21" s="23"/>
      <c r="Q21" s="23">
        <v>676000</v>
      </c>
      <c r="R21" s="23"/>
      <c r="S21" s="23"/>
      <c r="T21" s="23"/>
      <c r="U21" s="23"/>
      <c r="V21" s="24"/>
    </row>
    <row r="22" spans="1:25" ht="105" x14ac:dyDescent="0.2">
      <c r="A22" s="80">
        <v>3.3</v>
      </c>
      <c r="B22" s="88"/>
      <c r="C22" s="24" t="s">
        <v>48</v>
      </c>
      <c r="D22" s="35" t="s">
        <v>35</v>
      </c>
      <c r="E22" s="60">
        <v>1000000</v>
      </c>
      <c r="F22" s="23"/>
      <c r="G22" s="23"/>
      <c r="H22" s="23"/>
      <c r="I22" s="23"/>
      <c r="J22" s="23"/>
      <c r="K22" s="23">
        <f>[1]อ.งาว!I27</f>
        <v>788000</v>
      </c>
      <c r="L22" s="23">
        <f>E22-K22-M22-O22</f>
        <v>0</v>
      </c>
      <c r="M22" s="23">
        <v>0</v>
      </c>
      <c r="N22" s="23">
        <f t="shared" si="3"/>
        <v>78.8</v>
      </c>
      <c r="O22" s="23">
        <f>Q22</f>
        <v>212000</v>
      </c>
      <c r="P22" s="23"/>
      <c r="Q22" s="23">
        <v>212000</v>
      </c>
      <c r="R22" s="23"/>
      <c r="S22" s="23"/>
      <c r="T22" s="23"/>
      <c r="U22" s="23"/>
      <c r="V22" s="24"/>
    </row>
    <row r="23" spans="1:25" s="149" customFormat="1" ht="105" x14ac:dyDescent="0.2">
      <c r="A23" s="142">
        <v>3.4</v>
      </c>
      <c r="B23" s="143"/>
      <c r="C23" s="144" t="s">
        <v>49</v>
      </c>
      <c r="D23" s="145" t="s">
        <v>50</v>
      </c>
      <c r="E23" s="146">
        <v>2180000</v>
      </c>
      <c r="F23" s="147"/>
      <c r="G23" s="147"/>
      <c r="H23" s="147"/>
      <c r="I23" s="147"/>
      <c r="J23" s="147"/>
      <c r="K23" s="147">
        <f>[1]อ.เมืองลำปาง!I5</f>
        <v>0</v>
      </c>
      <c r="L23" s="147">
        <f>E23-K23-M23</f>
        <v>2180000</v>
      </c>
      <c r="M23" s="147"/>
      <c r="N23" s="147">
        <f t="shared" si="3"/>
        <v>0</v>
      </c>
      <c r="O23" s="147"/>
      <c r="P23" s="147"/>
      <c r="Q23" s="147"/>
      <c r="R23" s="147"/>
      <c r="S23" s="147"/>
      <c r="T23" s="147"/>
      <c r="U23" s="147"/>
      <c r="V23" s="144" t="s">
        <v>51</v>
      </c>
      <c r="Y23" s="150"/>
    </row>
    <row r="24" spans="1:25" ht="105" x14ac:dyDescent="0.2">
      <c r="A24" s="80">
        <v>3.5</v>
      </c>
      <c r="B24" s="88"/>
      <c r="C24" s="24" t="s">
        <v>52</v>
      </c>
      <c r="D24" s="35" t="s">
        <v>53</v>
      </c>
      <c r="E24" s="60">
        <v>1944000</v>
      </c>
      <c r="F24" s="23"/>
      <c r="G24" s="23"/>
      <c r="H24" s="23"/>
      <c r="I24" s="23"/>
      <c r="J24" s="23"/>
      <c r="K24" s="23">
        <f>[1]อ.เถิน!I5</f>
        <v>1568000</v>
      </c>
      <c r="L24" s="23">
        <f>E24-K24-M24-O24</f>
        <v>0</v>
      </c>
      <c r="M24" s="23">
        <v>0</v>
      </c>
      <c r="N24" s="23">
        <f t="shared" si="3"/>
        <v>80.658436213991763</v>
      </c>
      <c r="O24" s="23">
        <f>Q24</f>
        <v>376000</v>
      </c>
      <c r="P24" s="23"/>
      <c r="Q24" s="23">
        <f>105000+271000</f>
        <v>376000</v>
      </c>
      <c r="R24" s="23"/>
      <c r="S24" s="23"/>
      <c r="T24" s="23"/>
      <c r="U24" s="23"/>
      <c r="V24" s="24"/>
    </row>
    <row r="25" spans="1:25" ht="105" x14ac:dyDescent="0.2">
      <c r="A25" s="80">
        <v>3.6</v>
      </c>
      <c r="B25" s="88"/>
      <c r="C25" s="24" t="s">
        <v>54</v>
      </c>
      <c r="D25" s="35" t="s">
        <v>41</v>
      </c>
      <c r="E25" s="60">
        <v>2013000</v>
      </c>
      <c r="F25" s="23"/>
      <c r="G25" s="23"/>
      <c r="H25" s="23"/>
      <c r="I25" s="23"/>
      <c r="J25" s="23"/>
      <c r="K25" s="23">
        <f>[1]อ.แม่ทะ!I11</f>
        <v>1666207.66</v>
      </c>
      <c r="L25" s="23">
        <f>E25-K25-M25-O25</f>
        <v>0</v>
      </c>
      <c r="M25" s="23">
        <f>320792.34+26000-O25</f>
        <v>0</v>
      </c>
      <c r="N25" s="23">
        <f t="shared" si="3"/>
        <v>82.772362642821662</v>
      </c>
      <c r="O25" s="23">
        <f>Q25+S25</f>
        <v>346792.34</v>
      </c>
      <c r="P25" s="23"/>
      <c r="Q25" s="23">
        <v>26000</v>
      </c>
      <c r="R25" s="23"/>
      <c r="S25" s="23">
        <v>320792.34000000003</v>
      </c>
      <c r="T25" s="23"/>
      <c r="U25" s="23"/>
      <c r="V25" s="24"/>
      <c r="W25" s="151"/>
    </row>
    <row r="26" spans="1:25" ht="105" x14ac:dyDescent="0.2">
      <c r="A26" s="80">
        <v>3.7</v>
      </c>
      <c r="B26" s="88"/>
      <c r="C26" s="24" t="s">
        <v>55</v>
      </c>
      <c r="D26" s="35" t="s">
        <v>41</v>
      </c>
      <c r="E26" s="60">
        <v>1859000</v>
      </c>
      <c r="F26" s="23"/>
      <c r="G26" s="23"/>
      <c r="H26" s="23"/>
      <c r="I26" s="23"/>
      <c r="J26" s="23"/>
      <c r="K26" s="23">
        <f>[1]อ.แม่ทะ!I18</f>
        <v>1408000</v>
      </c>
      <c r="L26" s="23">
        <f>E26-K26-M26-O26</f>
        <v>0</v>
      </c>
      <c r="M26" s="23">
        <f>451000-O26</f>
        <v>0</v>
      </c>
      <c r="N26" s="23">
        <f t="shared" si="3"/>
        <v>75.739644970414204</v>
      </c>
      <c r="O26" s="23">
        <f>Q26</f>
        <v>451000</v>
      </c>
      <c r="P26" s="23"/>
      <c r="Q26" s="23">
        <v>451000</v>
      </c>
      <c r="R26" s="23"/>
      <c r="S26" s="23"/>
      <c r="T26" s="23"/>
      <c r="U26" s="23"/>
      <c r="V26" s="24"/>
    </row>
    <row r="27" spans="1:25" ht="84" x14ac:dyDescent="0.2">
      <c r="A27" s="80">
        <v>3.8</v>
      </c>
      <c r="B27" s="88"/>
      <c r="C27" s="24" t="s">
        <v>56</v>
      </c>
      <c r="D27" s="35" t="s">
        <v>41</v>
      </c>
      <c r="E27" s="60">
        <v>1745000</v>
      </c>
      <c r="F27" s="23"/>
      <c r="G27" s="23"/>
      <c r="H27" s="23"/>
      <c r="I27" s="23"/>
      <c r="J27" s="23"/>
      <c r="K27" s="23">
        <f>[1]อ.แม่ทะ!I27</f>
        <v>1220000</v>
      </c>
      <c r="L27" s="23">
        <f>E27-K27-M27-O27</f>
        <v>0</v>
      </c>
      <c r="M27" s="23">
        <f>525000-O27</f>
        <v>0</v>
      </c>
      <c r="N27" s="23">
        <f t="shared" si="3"/>
        <v>69.914040114613186</v>
      </c>
      <c r="O27" s="23">
        <f>Q27</f>
        <v>525000</v>
      </c>
      <c r="P27" s="23"/>
      <c r="Q27" s="23">
        <f>252000+273000</f>
        <v>525000</v>
      </c>
      <c r="R27" s="23"/>
      <c r="S27" s="23"/>
      <c r="T27" s="23"/>
      <c r="U27" s="23"/>
      <c r="V27" s="24"/>
    </row>
    <row r="28" spans="1:25" ht="84" x14ac:dyDescent="0.2">
      <c r="A28" s="80">
        <v>3.9</v>
      </c>
      <c r="B28" s="88"/>
      <c r="C28" s="24" t="s">
        <v>57</v>
      </c>
      <c r="D28" s="35" t="s">
        <v>58</v>
      </c>
      <c r="E28" s="60">
        <v>500000</v>
      </c>
      <c r="F28" s="23"/>
      <c r="G28" s="23"/>
      <c r="H28" s="23"/>
      <c r="I28" s="23"/>
      <c r="J28" s="23"/>
      <c r="K28" s="23">
        <f>[1]อ.แจ้ห่ม!I5</f>
        <v>500000</v>
      </c>
      <c r="L28" s="23">
        <f t="shared" si="2"/>
        <v>0</v>
      </c>
      <c r="M28" s="23">
        <f>[1]ยอดรวมรายหน่วย!R45</f>
        <v>0</v>
      </c>
      <c r="N28" s="23">
        <f t="shared" si="3"/>
        <v>100</v>
      </c>
      <c r="O28" s="23"/>
      <c r="P28" s="23"/>
      <c r="Q28" s="23"/>
      <c r="R28" s="23"/>
      <c r="S28" s="23"/>
      <c r="T28" s="23"/>
      <c r="U28" s="23"/>
      <c r="V28" s="24"/>
    </row>
    <row r="29" spans="1:25" ht="105" x14ac:dyDescent="0.2">
      <c r="A29" s="87">
        <v>3.1</v>
      </c>
      <c r="B29" s="88"/>
      <c r="C29" s="24" t="s">
        <v>59</v>
      </c>
      <c r="D29" s="35" t="s">
        <v>60</v>
      </c>
      <c r="E29" s="60">
        <v>2955000</v>
      </c>
      <c r="F29" s="23"/>
      <c r="G29" s="23"/>
      <c r="H29" s="23"/>
      <c r="I29" s="23"/>
      <c r="J29" s="23"/>
      <c r="K29" s="23">
        <f>[1]อ.เสริมงาม!I5</f>
        <v>2277000</v>
      </c>
      <c r="L29" s="23">
        <f t="shared" ref="L29:L35" si="4">E29-K29-M29-O29</f>
        <v>0</v>
      </c>
      <c r="M29" s="23">
        <f>678000-O29</f>
        <v>0</v>
      </c>
      <c r="N29" s="23">
        <f t="shared" si="3"/>
        <v>77.055837563451774</v>
      </c>
      <c r="O29" s="23">
        <f>Q29</f>
        <v>678000</v>
      </c>
      <c r="P29" s="23"/>
      <c r="Q29" s="23">
        <f>500000+178000</f>
        <v>678000</v>
      </c>
      <c r="R29" s="23"/>
      <c r="S29" s="23"/>
      <c r="T29" s="23"/>
      <c r="U29" s="23"/>
      <c r="V29" s="24"/>
    </row>
    <row r="30" spans="1:25" ht="84" x14ac:dyDescent="0.2">
      <c r="A30" s="87">
        <v>3.11</v>
      </c>
      <c r="B30" s="88"/>
      <c r="C30" s="24" t="s">
        <v>61</v>
      </c>
      <c r="D30" s="35" t="s">
        <v>58</v>
      </c>
      <c r="E30" s="60">
        <v>1981000</v>
      </c>
      <c r="F30" s="23"/>
      <c r="G30" s="23"/>
      <c r="H30" s="23"/>
      <c r="I30" s="23"/>
      <c r="J30" s="23"/>
      <c r="K30" s="23">
        <f>[1]อ.แจ้ห่ม!I11</f>
        <v>1948000</v>
      </c>
      <c r="L30" s="23">
        <f t="shared" si="4"/>
        <v>0</v>
      </c>
      <c r="M30" s="23">
        <f>33000-O30</f>
        <v>0</v>
      </c>
      <c r="N30" s="23">
        <f t="shared" si="3"/>
        <v>98.334174659262999</v>
      </c>
      <c r="O30" s="23">
        <f>Q30</f>
        <v>33000</v>
      </c>
      <c r="P30" s="23"/>
      <c r="Q30" s="23">
        <v>33000</v>
      </c>
      <c r="R30" s="23"/>
      <c r="S30" s="23"/>
      <c r="T30" s="23"/>
      <c r="U30" s="23"/>
      <c r="V30" s="24"/>
    </row>
    <row r="31" spans="1:25" ht="105" x14ac:dyDescent="0.2">
      <c r="A31" s="87">
        <v>3.12</v>
      </c>
      <c r="B31" s="24"/>
      <c r="C31" s="24" t="s">
        <v>62</v>
      </c>
      <c r="D31" s="35" t="s">
        <v>58</v>
      </c>
      <c r="E31" s="60">
        <v>1960000</v>
      </c>
      <c r="F31" s="23"/>
      <c r="G31" s="23"/>
      <c r="H31" s="23"/>
      <c r="I31" s="23"/>
      <c r="J31" s="23"/>
      <c r="K31" s="23">
        <f>[1]อ.แจ้ห่ม!I18</f>
        <v>640000</v>
      </c>
      <c r="L31" s="23">
        <f t="shared" si="4"/>
        <v>0</v>
      </c>
      <c r="M31" s="23">
        <f>1320000-O31</f>
        <v>0</v>
      </c>
      <c r="N31" s="23">
        <f t="shared" si="3"/>
        <v>32.653061224489797</v>
      </c>
      <c r="O31" s="23">
        <f>Q31+R31</f>
        <v>1320000</v>
      </c>
      <c r="P31" s="23"/>
      <c r="Q31" s="23">
        <v>516000</v>
      </c>
      <c r="R31" s="23">
        <f>260000+544000</f>
        <v>804000</v>
      </c>
      <c r="S31" s="23"/>
      <c r="T31" s="23"/>
      <c r="U31" s="23"/>
      <c r="V31" s="24"/>
    </row>
    <row r="32" spans="1:25" ht="126" x14ac:dyDescent="0.2">
      <c r="A32" s="87">
        <v>3.13</v>
      </c>
      <c r="B32" s="24"/>
      <c r="C32" s="24" t="s">
        <v>63</v>
      </c>
      <c r="D32" s="35" t="s">
        <v>64</v>
      </c>
      <c r="E32" s="60">
        <v>1016700</v>
      </c>
      <c r="F32" s="23"/>
      <c r="G32" s="23"/>
      <c r="H32" s="23"/>
      <c r="I32" s="23"/>
      <c r="J32" s="23"/>
      <c r="K32" s="23">
        <f>[1]อ.เกาะคา!I5</f>
        <v>430000</v>
      </c>
      <c r="L32" s="23">
        <f t="shared" si="4"/>
        <v>0</v>
      </c>
      <c r="M32" s="23">
        <f>586700-O32</f>
        <v>0</v>
      </c>
      <c r="N32" s="23">
        <f t="shared" si="3"/>
        <v>42.293695288679061</v>
      </c>
      <c r="O32" s="23">
        <f>R32</f>
        <v>586700</v>
      </c>
      <c r="P32" s="23"/>
      <c r="Q32" s="23"/>
      <c r="R32" s="23">
        <v>586700</v>
      </c>
      <c r="S32" s="23"/>
      <c r="T32" s="23"/>
      <c r="U32" s="23"/>
      <c r="V32" s="24"/>
    </row>
    <row r="33" spans="1:25" ht="105" x14ac:dyDescent="0.2">
      <c r="A33" s="87">
        <v>3.14</v>
      </c>
      <c r="B33" s="88"/>
      <c r="C33" s="24" t="s">
        <v>65</v>
      </c>
      <c r="D33" s="35" t="s">
        <v>60</v>
      </c>
      <c r="E33" s="60">
        <v>1555000</v>
      </c>
      <c r="F33" s="23"/>
      <c r="G33" s="23"/>
      <c r="H33" s="23"/>
      <c r="I33" s="23"/>
      <c r="J33" s="23"/>
      <c r="K33" s="23">
        <f>[1]อ.เสริมงาม!I11</f>
        <v>1089000</v>
      </c>
      <c r="L33" s="23">
        <f t="shared" si="4"/>
        <v>0</v>
      </c>
      <c r="M33" s="23">
        <f>466000-O33</f>
        <v>0</v>
      </c>
      <c r="N33" s="23">
        <f t="shared" si="3"/>
        <v>70.032154340836016</v>
      </c>
      <c r="O33" s="23">
        <f>R33</f>
        <v>466000</v>
      </c>
      <c r="P33" s="23"/>
      <c r="Q33" s="23"/>
      <c r="R33" s="23">
        <f>466000</f>
        <v>466000</v>
      </c>
      <c r="S33" s="23"/>
      <c r="T33" s="23"/>
      <c r="U33" s="23"/>
      <c r="V33" s="24"/>
    </row>
    <row r="34" spans="1:25" ht="105" x14ac:dyDescent="0.2">
      <c r="A34" s="87">
        <v>3.15</v>
      </c>
      <c r="B34" s="24"/>
      <c r="C34" s="24" t="s">
        <v>66</v>
      </c>
      <c r="D34" s="35" t="s">
        <v>67</v>
      </c>
      <c r="E34" s="60">
        <v>1225000</v>
      </c>
      <c r="F34" s="23"/>
      <c r="G34" s="23"/>
      <c r="H34" s="23"/>
      <c r="I34" s="23"/>
      <c r="J34" s="23"/>
      <c r="K34" s="23">
        <f>[1]อ.เมืองลำปาง!I11</f>
        <v>854771</v>
      </c>
      <c r="L34" s="23">
        <f>E34-K34-M34-O34</f>
        <v>0</v>
      </c>
      <c r="M34" s="23">
        <f>370229-O34</f>
        <v>0</v>
      </c>
      <c r="N34" s="23">
        <f t="shared" si="3"/>
        <v>69.777224489795913</v>
      </c>
      <c r="O34" s="23">
        <f>P34+R34+T34+U34</f>
        <v>370229</v>
      </c>
      <c r="P34" s="23">
        <v>231700</v>
      </c>
      <c r="Q34" s="23"/>
      <c r="R34" s="23">
        <v>103300</v>
      </c>
      <c r="S34" s="23"/>
      <c r="T34" s="23"/>
      <c r="U34" s="23">
        <v>35229</v>
      </c>
      <c r="V34" s="24"/>
    </row>
    <row r="35" spans="1:25" ht="147" x14ac:dyDescent="0.2">
      <c r="A35" s="87">
        <v>3.16</v>
      </c>
      <c r="B35" s="24"/>
      <c r="C35" s="24" t="s">
        <v>68</v>
      </c>
      <c r="D35" s="35" t="s">
        <v>67</v>
      </c>
      <c r="E35" s="60">
        <v>2730000</v>
      </c>
      <c r="F35" s="23"/>
      <c r="G35" s="23"/>
      <c r="H35" s="23"/>
      <c r="I35" s="23"/>
      <c r="J35" s="23"/>
      <c r="K35" s="23">
        <f>[1]อ.เมืองลำปาง!I16</f>
        <v>1099000</v>
      </c>
      <c r="L35" s="23">
        <f t="shared" si="4"/>
        <v>0</v>
      </c>
      <c r="M35" s="23">
        <f>1631000-O35</f>
        <v>0</v>
      </c>
      <c r="N35" s="23">
        <f t="shared" si="3"/>
        <v>40.256410256410255</v>
      </c>
      <c r="O35" s="23">
        <f>P35+R35</f>
        <v>1631000</v>
      </c>
      <c r="P35" s="23">
        <v>372700</v>
      </c>
      <c r="Q35" s="23"/>
      <c r="R35" s="23">
        <v>1258300</v>
      </c>
      <c r="S35" s="23"/>
      <c r="T35" s="23"/>
      <c r="U35" s="23"/>
      <c r="V35" s="24"/>
    </row>
    <row r="36" spans="1:25" ht="84" x14ac:dyDescent="0.2">
      <c r="A36" s="87">
        <v>3.17</v>
      </c>
      <c r="B36" s="24"/>
      <c r="C36" s="24" t="s">
        <v>69</v>
      </c>
      <c r="D36" s="35" t="s">
        <v>70</v>
      </c>
      <c r="E36" s="60">
        <v>574000</v>
      </c>
      <c r="F36" s="23"/>
      <c r="G36" s="23"/>
      <c r="H36" s="23"/>
      <c r="I36" s="23"/>
      <c r="J36" s="23"/>
      <c r="K36" s="23">
        <f>[1]อ.ห้างฉัตร!I5</f>
        <v>570000</v>
      </c>
      <c r="L36" s="23">
        <f>E36-K36-M36-O36</f>
        <v>0</v>
      </c>
      <c r="M36" s="23"/>
      <c r="N36" s="23">
        <f t="shared" si="3"/>
        <v>99.303135888501743</v>
      </c>
      <c r="O36" s="23">
        <f>P36</f>
        <v>4000</v>
      </c>
      <c r="P36" s="23">
        <v>4000</v>
      </c>
      <c r="Q36" s="23"/>
      <c r="R36" s="23"/>
      <c r="S36" s="23"/>
      <c r="T36" s="23"/>
      <c r="U36" s="23"/>
      <c r="V36" s="24"/>
    </row>
    <row r="37" spans="1:25" ht="105" x14ac:dyDescent="0.2">
      <c r="A37" s="87">
        <v>3.18</v>
      </c>
      <c r="B37" s="24"/>
      <c r="C37" s="24" t="s">
        <v>71</v>
      </c>
      <c r="D37" s="35" t="s">
        <v>41</v>
      </c>
      <c r="E37" s="60">
        <v>6060000</v>
      </c>
      <c r="F37" s="23"/>
      <c r="G37" s="23"/>
      <c r="H37" s="23"/>
      <c r="I37" s="23"/>
      <c r="J37" s="23"/>
      <c r="K37" s="23">
        <f>[1]อ.แม่ทะ!I36</f>
        <v>0</v>
      </c>
      <c r="L37" s="23">
        <f t="shared" si="2"/>
        <v>6060000</v>
      </c>
      <c r="M37" s="23">
        <f>[1]ยอดรวมรายหน่วย!R31</f>
        <v>0</v>
      </c>
      <c r="N37" s="23">
        <f t="shared" si="3"/>
        <v>0</v>
      </c>
      <c r="O37" s="23"/>
      <c r="P37" s="23"/>
      <c r="Q37" s="23"/>
      <c r="R37" s="23"/>
      <c r="S37" s="23"/>
      <c r="T37" s="23"/>
      <c r="U37" s="23"/>
      <c r="V37" s="24"/>
    </row>
    <row r="38" spans="1:25" ht="105" x14ac:dyDescent="0.2">
      <c r="A38" s="87">
        <v>3.19</v>
      </c>
      <c r="B38" s="24"/>
      <c r="C38" s="24" t="s">
        <v>72</v>
      </c>
      <c r="D38" s="35" t="s">
        <v>41</v>
      </c>
      <c r="E38" s="60">
        <v>1960000</v>
      </c>
      <c r="F38" s="23"/>
      <c r="G38" s="23"/>
      <c r="H38" s="23"/>
      <c r="I38" s="23"/>
      <c r="J38" s="23"/>
      <c r="K38" s="23">
        <f>[1]อ.แม่ทะ!I46</f>
        <v>920000</v>
      </c>
      <c r="L38" s="23">
        <f>E38-K38-M38-O38</f>
        <v>0</v>
      </c>
      <c r="M38" s="23">
        <f>E38-K38-O38</f>
        <v>0</v>
      </c>
      <c r="N38" s="23">
        <f t="shared" si="3"/>
        <v>46.938775510204081</v>
      </c>
      <c r="O38" s="23">
        <f>P38</f>
        <v>1040000</v>
      </c>
      <c r="P38" s="23">
        <f>841600+198400</f>
        <v>1040000</v>
      </c>
      <c r="Q38" s="23"/>
      <c r="R38" s="23"/>
      <c r="S38" s="23"/>
      <c r="T38" s="23"/>
      <c r="U38" s="23"/>
      <c r="V38" s="24"/>
    </row>
    <row r="39" spans="1:25" ht="105" x14ac:dyDescent="0.2">
      <c r="A39" s="87">
        <v>3.2</v>
      </c>
      <c r="B39" s="24"/>
      <c r="C39" s="24" t="s">
        <v>73</v>
      </c>
      <c r="D39" s="35" t="s">
        <v>41</v>
      </c>
      <c r="E39" s="60">
        <v>2150000</v>
      </c>
      <c r="F39" s="23"/>
      <c r="G39" s="23"/>
      <c r="H39" s="23"/>
      <c r="I39" s="23"/>
      <c r="J39" s="23"/>
      <c r="K39" s="23">
        <f>[1]อ.แม่ทะ!I54</f>
        <v>2140000</v>
      </c>
      <c r="L39" s="23">
        <f>E39-K39-O39</f>
        <v>0</v>
      </c>
      <c r="M39" s="23">
        <f>E39-K39-O39</f>
        <v>0</v>
      </c>
      <c r="N39" s="23">
        <f t="shared" si="3"/>
        <v>99.534883720930239</v>
      </c>
      <c r="O39" s="23">
        <f>P39</f>
        <v>10000</v>
      </c>
      <c r="P39" s="23">
        <v>10000</v>
      </c>
      <c r="Q39" s="23"/>
      <c r="R39" s="23"/>
      <c r="S39" s="23"/>
      <c r="T39" s="23"/>
      <c r="U39" s="23"/>
      <c r="V39" s="24"/>
    </row>
    <row r="40" spans="1:25" ht="105" x14ac:dyDescent="0.2">
      <c r="A40" s="87">
        <v>3.21</v>
      </c>
      <c r="B40" s="24"/>
      <c r="C40" s="24" t="s">
        <v>74</v>
      </c>
      <c r="D40" s="35" t="s">
        <v>75</v>
      </c>
      <c r="E40" s="60">
        <v>1610000</v>
      </c>
      <c r="F40" s="23"/>
      <c r="G40" s="23"/>
      <c r="H40" s="23"/>
      <c r="I40" s="23"/>
      <c r="J40" s="23"/>
      <c r="K40" s="23">
        <f>[1]อ.วังเหนือ!I5</f>
        <v>858000</v>
      </c>
      <c r="L40" s="23">
        <f>E40-K40-M40-O40</f>
        <v>0</v>
      </c>
      <c r="M40" s="23">
        <f>752000-O40</f>
        <v>0</v>
      </c>
      <c r="N40" s="23">
        <f t="shared" si="3"/>
        <v>53.29192546583851</v>
      </c>
      <c r="O40" s="23">
        <f>P40+T40+U40</f>
        <v>752000</v>
      </c>
      <c r="P40" s="23">
        <v>715600</v>
      </c>
      <c r="Q40" s="23"/>
      <c r="R40" s="23"/>
      <c r="S40" s="23"/>
      <c r="T40" s="23"/>
      <c r="U40" s="23">
        <v>36400</v>
      </c>
      <c r="V40" s="23"/>
    </row>
    <row r="41" spans="1:25" ht="63" x14ac:dyDescent="0.2">
      <c r="A41" s="87">
        <v>3.22</v>
      </c>
      <c r="B41" s="24"/>
      <c r="C41" s="24" t="s">
        <v>76</v>
      </c>
      <c r="D41" s="35" t="s">
        <v>75</v>
      </c>
      <c r="E41" s="60">
        <v>1969000</v>
      </c>
      <c r="F41" s="23"/>
      <c r="G41" s="23"/>
      <c r="H41" s="23"/>
      <c r="I41" s="23"/>
      <c r="J41" s="23"/>
      <c r="K41" s="23">
        <f>[1]ยอดรวมรายหน่วย!Q64</f>
        <v>1789000</v>
      </c>
      <c r="L41" s="23">
        <f>E41-K41-M41-O41</f>
        <v>0</v>
      </c>
      <c r="M41" s="23"/>
      <c r="N41" s="23">
        <f t="shared" si="3"/>
        <v>90.858303707465723</v>
      </c>
      <c r="O41" s="23">
        <f>P41</f>
        <v>180000</v>
      </c>
      <c r="P41" s="23">
        <v>180000</v>
      </c>
      <c r="Q41" s="23"/>
      <c r="R41" s="23"/>
      <c r="S41" s="23"/>
      <c r="T41" s="23"/>
      <c r="U41" s="23"/>
      <c r="V41" s="24" t="s">
        <v>77</v>
      </c>
      <c r="W41" s="151"/>
    </row>
    <row r="42" spans="1:25" ht="63" x14ac:dyDescent="0.2">
      <c r="A42" s="87">
        <v>3.23</v>
      </c>
      <c r="B42" s="24"/>
      <c r="C42" s="24" t="s">
        <v>78</v>
      </c>
      <c r="D42" s="35" t="s">
        <v>75</v>
      </c>
      <c r="E42" s="60">
        <v>499000</v>
      </c>
      <c r="F42" s="23"/>
      <c r="G42" s="23"/>
      <c r="H42" s="23"/>
      <c r="I42" s="23"/>
      <c r="J42" s="23"/>
      <c r="K42" s="23">
        <f>[1]อ.วังเหนือ!I35</f>
        <v>499000</v>
      </c>
      <c r="L42" s="23">
        <f>E42-K42-M42</f>
        <v>0</v>
      </c>
      <c r="M42" s="23">
        <f>[1]ยอดรวมรายหน่วย!R65</f>
        <v>0</v>
      </c>
      <c r="N42" s="23">
        <f t="shared" si="3"/>
        <v>100</v>
      </c>
      <c r="O42" s="23"/>
      <c r="P42" s="23"/>
      <c r="Q42" s="23"/>
      <c r="R42" s="23"/>
      <c r="S42" s="23"/>
      <c r="T42" s="23"/>
      <c r="U42" s="23"/>
      <c r="V42" s="24" t="s">
        <v>77</v>
      </c>
    </row>
    <row r="43" spans="1:25" ht="63" x14ac:dyDescent="0.2">
      <c r="A43" s="87">
        <v>3.24</v>
      </c>
      <c r="B43" s="24"/>
      <c r="C43" s="24" t="s">
        <v>79</v>
      </c>
      <c r="D43" s="35" t="s">
        <v>53</v>
      </c>
      <c r="E43" s="60">
        <v>234000</v>
      </c>
      <c r="F43" s="23"/>
      <c r="G43" s="23"/>
      <c r="H43" s="23"/>
      <c r="I43" s="23"/>
      <c r="J43" s="23"/>
      <c r="K43" s="23">
        <f>[1]อ.เถิน!I24</f>
        <v>234000</v>
      </c>
      <c r="L43" s="23">
        <f>E43-K43-M43</f>
        <v>0</v>
      </c>
      <c r="M43" s="23">
        <f>[1]ยอดรวมรายหน่วย!R41</f>
        <v>0</v>
      </c>
      <c r="N43" s="23">
        <f t="shared" si="3"/>
        <v>100</v>
      </c>
      <c r="O43" s="23"/>
      <c r="P43" s="23"/>
      <c r="Q43" s="23"/>
      <c r="R43" s="23"/>
      <c r="S43" s="23"/>
      <c r="T43" s="23"/>
      <c r="U43" s="23"/>
      <c r="V43" s="24" t="s">
        <v>77</v>
      </c>
    </row>
    <row r="44" spans="1:25" ht="84" x14ac:dyDescent="0.2">
      <c r="A44" s="1">
        <v>3.25</v>
      </c>
      <c r="B44" s="2"/>
      <c r="C44" s="2" t="s">
        <v>80</v>
      </c>
      <c r="D44" s="3" t="s">
        <v>58</v>
      </c>
      <c r="E44" s="4">
        <v>1950000</v>
      </c>
      <c r="F44" s="5"/>
      <c r="G44" s="5"/>
      <c r="H44" s="5"/>
      <c r="I44" s="5"/>
      <c r="J44" s="5"/>
      <c r="K44" s="5">
        <f>[1]ยอดรวมรายหน่วย!Q51</f>
        <v>1940000</v>
      </c>
      <c r="L44" s="5">
        <f>E44-K44-M44-O44</f>
        <v>0</v>
      </c>
      <c r="M44" s="5">
        <f>1950000-1940000-O44</f>
        <v>0</v>
      </c>
      <c r="N44" s="5">
        <f t="shared" si="3"/>
        <v>99.487179487179489</v>
      </c>
      <c r="O44" s="5">
        <f>U44</f>
        <v>10000</v>
      </c>
      <c r="P44" s="5"/>
      <c r="Q44" s="5"/>
      <c r="R44" s="5"/>
      <c r="S44" s="5"/>
      <c r="T44" s="5"/>
      <c r="U44" s="5">
        <v>10000</v>
      </c>
      <c r="V44" s="2" t="s">
        <v>81</v>
      </c>
    </row>
    <row r="45" spans="1:25" ht="126" x14ac:dyDescent="0.2">
      <c r="A45" s="1">
        <v>3.26</v>
      </c>
      <c r="B45" s="2"/>
      <c r="C45" s="2" t="s">
        <v>82</v>
      </c>
      <c r="D45" s="3" t="s">
        <v>60</v>
      </c>
      <c r="E45" s="4">
        <v>770000</v>
      </c>
      <c r="F45" s="5"/>
      <c r="G45" s="5"/>
      <c r="H45" s="5"/>
      <c r="I45" s="5"/>
      <c r="J45" s="5"/>
      <c r="K45" s="5">
        <f>[1]ยอดรวมรายหน่วย!Q61</f>
        <v>749000</v>
      </c>
      <c r="L45" s="5">
        <f>E45-K45-M45-O45</f>
        <v>0</v>
      </c>
      <c r="M45" s="5">
        <f>770000-749000-O45</f>
        <v>0</v>
      </c>
      <c r="N45" s="5">
        <f t="shared" si="3"/>
        <v>97.272727272727266</v>
      </c>
      <c r="O45" s="5">
        <f>U45</f>
        <v>21000</v>
      </c>
      <c r="P45" s="5"/>
      <c r="Q45" s="5"/>
      <c r="R45" s="5"/>
      <c r="S45" s="5"/>
      <c r="T45" s="5"/>
      <c r="U45" s="5">
        <v>21000</v>
      </c>
      <c r="V45" s="2" t="s">
        <v>81</v>
      </c>
    </row>
    <row r="46" spans="1:25" ht="63" x14ac:dyDescent="0.2">
      <c r="A46" s="1">
        <v>3.27</v>
      </c>
      <c r="B46" s="2"/>
      <c r="C46" s="2" t="s">
        <v>83</v>
      </c>
      <c r="D46" s="3" t="s">
        <v>41</v>
      </c>
      <c r="E46" s="4">
        <v>2393000</v>
      </c>
      <c r="F46" s="5"/>
      <c r="G46" s="5"/>
      <c r="H46" s="5"/>
      <c r="I46" s="5"/>
      <c r="J46" s="5"/>
      <c r="K46" s="5">
        <f>[1]ยอดรวมรายหน่วย!Q34</f>
        <v>0</v>
      </c>
      <c r="L46" s="5">
        <f>E46-K46-M46-O46</f>
        <v>2393000</v>
      </c>
      <c r="M46" s="5"/>
      <c r="N46" s="5">
        <f t="shared" si="3"/>
        <v>0</v>
      </c>
      <c r="O46" s="5"/>
      <c r="P46" s="5"/>
      <c r="Q46" s="5"/>
      <c r="R46" s="5"/>
      <c r="S46" s="5"/>
      <c r="T46" s="5"/>
      <c r="U46" s="5"/>
      <c r="V46" s="2" t="s">
        <v>81</v>
      </c>
    </row>
    <row r="47" spans="1:25" s="16" customFormat="1" x14ac:dyDescent="0.2">
      <c r="A47" s="152"/>
      <c r="B47" s="137"/>
      <c r="C47" s="138" t="s">
        <v>84</v>
      </c>
      <c r="D47" s="139"/>
      <c r="E47" s="140">
        <f>E21+E22+E24+E25+E26+E27+E28+E29+E30+E31+E32+E33+E34+E35+E36+E37+E38+E39+E40+E41+E42+E43</f>
        <v>39525700</v>
      </c>
      <c r="F47" s="141"/>
      <c r="G47" s="141"/>
      <c r="H47" s="141"/>
      <c r="I47" s="141"/>
      <c r="J47" s="141"/>
      <c r="K47" s="141">
        <f>SUM(K20:K45)</f>
        <v>26489208.579999998</v>
      </c>
      <c r="L47" s="141">
        <f>E47-K47-M47</f>
        <v>13028721.340000002</v>
      </c>
      <c r="M47" s="141">
        <f>SUM(M20:M45)</f>
        <v>7770.08</v>
      </c>
      <c r="N47" s="141">
        <f t="shared" si="3"/>
        <v>67.017683633686431</v>
      </c>
      <c r="O47" s="141"/>
      <c r="P47" s="141"/>
      <c r="Q47" s="141"/>
      <c r="R47" s="141"/>
      <c r="S47" s="141"/>
      <c r="T47" s="141"/>
      <c r="U47" s="141"/>
      <c r="V47" s="137"/>
      <c r="Y47" s="17"/>
    </row>
    <row r="48" spans="1:25" ht="42" x14ac:dyDescent="0.2">
      <c r="A48" s="113">
        <v>4</v>
      </c>
      <c r="B48" s="32"/>
      <c r="C48" s="13" t="s">
        <v>85</v>
      </c>
      <c r="D48" s="28"/>
      <c r="E48" s="14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32"/>
    </row>
    <row r="49" spans="1:28" ht="105" x14ac:dyDescent="0.2">
      <c r="A49" s="80">
        <v>4.0999999999999996</v>
      </c>
      <c r="B49" s="24"/>
      <c r="C49" s="81" t="s">
        <v>86</v>
      </c>
      <c r="D49" s="112" t="s">
        <v>64</v>
      </c>
      <c r="E49" s="60">
        <v>1936000</v>
      </c>
      <c r="F49" s="23"/>
      <c r="G49" s="23"/>
      <c r="H49" s="23"/>
      <c r="I49" s="23"/>
      <c r="J49" s="23"/>
      <c r="K49" s="23">
        <f>[1]อ.เกาะคา!I11</f>
        <v>1598100</v>
      </c>
      <c r="L49" s="23">
        <f>E49-K49-M49-O49</f>
        <v>0</v>
      </c>
      <c r="M49" s="23"/>
      <c r="N49" s="23">
        <f>K49*100/E49</f>
        <v>82.546487603305792</v>
      </c>
      <c r="O49" s="23">
        <f>P49</f>
        <v>337900</v>
      </c>
      <c r="P49" s="23">
        <v>337900</v>
      </c>
      <c r="Q49" s="23"/>
      <c r="R49" s="23"/>
      <c r="S49" s="23"/>
      <c r="T49" s="23"/>
      <c r="U49" s="23"/>
      <c r="V49" s="24"/>
    </row>
    <row r="50" spans="1:28" ht="84" x14ac:dyDescent="0.2">
      <c r="A50" s="80">
        <v>4.2</v>
      </c>
      <c r="B50" s="24"/>
      <c r="C50" s="81" t="s">
        <v>87</v>
      </c>
      <c r="D50" s="112" t="s">
        <v>64</v>
      </c>
      <c r="E50" s="60">
        <v>1032000</v>
      </c>
      <c r="F50" s="23"/>
      <c r="G50" s="23"/>
      <c r="H50" s="23"/>
      <c r="I50" s="23"/>
      <c r="J50" s="23"/>
      <c r="K50" s="23">
        <f>[1]อ.เกาะคา!I17</f>
        <v>1018000</v>
      </c>
      <c r="L50" s="23">
        <f>E50-K50-M50-O50</f>
        <v>0</v>
      </c>
      <c r="M50" s="23"/>
      <c r="N50" s="23">
        <f t="shared" ref="N50:N53" si="5">K50*100/E50</f>
        <v>98.643410852713174</v>
      </c>
      <c r="O50" s="23">
        <f>P50</f>
        <v>14000</v>
      </c>
      <c r="P50" s="23">
        <v>14000</v>
      </c>
      <c r="Q50" s="23"/>
      <c r="R50" s="23"/>
      <c r="S50" s="23"/>
      <c r="T50" s="23"/>
      <c r="U50" s="23"/>
      <c r="V50" s="24"/>
      <c r="W50" s="100">
        <v>241011</v>
      </c>
      <c r="X50" s="100">
        <v>241132</v>
      </c>
      <c r="Y50" s="7" t="s">
        <v>88</v>
      </c>
      <c r="Z50" s="6">
        <v>59106084555</v>
      </c>
      <c r="AA50" s="101" t="s">
        <v>89</v>
      </c>
    </row>
    <row r="51" spans="1:28" ht="105" x14ac:dyDescent="0.2">
      <c r="A51" s="80">
        <v>4.3</v>
      </c>
      <c r="B51" s="24"/>
      <c r="C51" s="81" t="s">
        <v>90</v>
      </c>
      <c r="D51" s="112" t="s">
        <v>91</v>
      </c>
      <c r="E51" s="60">
        <v>1760000</v>
      </c>
      <c r="F51" s="23"/>
      <c r="G51" s="23"/>
      <c r="H51" s="23"/>
      <c r="I51" s="23"/>
      <c r="J51" s="23"/>
      <c r="K51" s="23">
        <f>[1]อ.สบปราบ!I5</f>
        <v>1640000</v>
      </c>
      <c r="L51" s="23">
        <f>E51-K51-M51-O51</f>
        <v>0</v>
      </c>
      <c r="M51" s="23"/>
      <c r="N51" s="23">
        <f t="shared" si="5"/>
        <v>93.181818181818187</v>
      </c>
      <c r="O51" s="23">
        <f>P51</f>
        <v>120000</v>
      </c>
      <c r="P51" s="23">
        <v>120000</v>
      </c>
      <c r="Q51" s="23"/>
      <c r="R51" s="23"/>
      <c r="S51" s="23"/>
      <c r="T51" s="23"/>
      <c r="U51" s="23"/>
      <c r="V51" s="24"/>
    </row>
    <row r="52" spans="1:28" ht="105" x14ac:dyDescent="0.2">
      <c r="A52" s="80">
        <v>4.4000000000000004</v>
      </c>
      <c r="B52" s="24"/>
      <c r="C52" s="81" t="s">
        <v>92</v>
      </c>
      <c r="D52" s="112" t="s">
        <v>91</v>
      </c>
      <c r="E52" s="60">
        <v>718100</v>
      </c>
      <c r="F52" s="23"/>
      <c r="G52" s="23"/>
      <c r="H52" s="23"/>
      <c r="I52" s="23"/>
      <c r="J52" s="23"/>
      <c r="K52" s="23">
        <f>[1]อ.สบปราบ!I11</f>
        <v>677700</v>
      </c>
      <c r="L52" s="23">
        <f>E52-K52-M52-O52</f>
        <v>0</v>
      </c>
      <c r="M52" s="23"/>
      <c r="N52" s="23">
        <f t="shared" si="5"/>
        <v>94.374042612449514</v>
      </c>
      <c r="O52" s="23">
        <f>P52</f>
        <v>40400</v>
      </c>
      <c r="P52" s="23">
        <v>40400</v>
      </c>
      <c r="Q52" s="23"/>
      <c r="R52" s="23"/>
      <c r="S52" s="23"/>
      <c r="T52" s="23"/>
      <c r="U52" s="23"/>
      <c r="V52" s="24"/>
    </row>
    <row r="53" spans="1:28" ht="105" x14ac:dyDescent="0.2">
      <c r="A53" s="80">
        <v>4.5</v>
      </c>
      <c r="B53" s="24"/>
      <c r="C53" s="81" t="s">
        <v>93</v>
      </c>
      <c r="D53" s="112" t="s">
        <v>91</v>
      </c>
      <c r="E53" s="60">
        <v>478000</v>
      </c>
      <c r="F53" s="23"/>
      <c r="G53" s="23"/>
      <c r="H53" s="23"/>
      <c r="I53" s="23"/>
      <c r="J53" s="23"/>
      <c r="K53" s="23">
        <f>[1]อ.สบปราบ!I18</f>
        <v>478000</v>
      </c>
      <c r="L53" s="23">
        <f>E53-K53-M53</f>
        <v>0</v>
      </c>
      <c r="M53" s="23"/>
      <c r="N53" s="23">
        <f t="shared" si="5"/>
        <v>100</v>
      </c>
      <c r="O53" s="23"/>
      <c r="P53" s="23"/>
      <c r="Q53" s="23"/>
      <c r="R53" s="23"/>
      <c r="S53" s="23"/>
      <c r="T53" s="23"/>
      <c r="U53" s="23"/>
      <c r="V53" s="24"/>
    </row>
    <row r="54" spans="1:28" ht="84" x14ac:dyDescent="0.2">
      <c r="A54" s="80">
        <v>4.5999999999999996</v>
      </c>
      <c r="B54" s="24"/>
      <c r="C54" s="81" t="s">
        <v>94</v>
      </c>
      <c r="D54" s="112" t="s">
        <v>70</v>
      </c>
      <c r="E54" s="60">
        <v>491000</v>
      </c>
      <c r="F54" s="23"/>
      <c r="G54" s="23"/>
      <c r="H54" s="23"/>
      <c r="I54" s="23"/>
      <c r="J54" s="23"/>
      <c r="K54" s="23">
        <f>[1]ยอดรวมรายหน่วย!Q72</f>
        <v>491000</v>
      </c>
      <c r="L54" s="23">
        <f>E54-K54-M54</f>
        <v>0</v>
      </c>
      <c r="M54" s="23">
        <f>[1]ยอดรวมรายหน่วย!R72</f>
        <v>0</v>
      </c>
      <c r="N54" s="23">
        <f>K54*100/E54</f>
        <v>100</v>
      </c>
      <c r="O54" s="23"/>
      <c r="P54" s="23"/>
      <c r="Q54" s="23"/>
      <c r="R54" s="23"/>
      <c r="S54" s="23"/>
      <c r="T54" s="23"/>
      <c r="U54" s="23"/>
      <c r="V54" s="24" t="s">
        <v>77</v>
      </c>
    </row>
    <row r="55" spans="1:28" ht="63" x14ac:dyDescent="0.2">
      <c r="A55" s="8">
        <v>4.7</v>
      </c>
      <c r="B55" s="2"/>
      <c r="C55" s="9" t="s">
        <v>95</v>
      </c>
      <c r="D55" s="116" t="s">
        <v>91</v>
      </c>
      <c r="E55" s="4">
        <v>340000</v>
      </c>
      <c r="F55" s="5"/>
      <c r="G55" s="5"/>
      <c r="H55" s="5"/>
      <c r="I55" s="5"/>
      <c r="J55" s="5"/>
      <c r="K55" s="5">
        <f>[1]ยอดรวมรายหน่วย!Q80</f>
        <v>340000</v>
      </c>
      <c r="L55" s="5">
        <f>E55-K55-M55</f>
        <v>0</v>
      </c>
      <c r="M55" s="5"/>
      <c r="N55" s="5">
        <f>K55*100/E55</f>
        <v>100</v>
      </c>
      <c r="O55" s="5"/>
      <c r="P55" s="5"/>
      <c r="Q55" s="5"/>
      <c r="R55" s="5"/>
      <c r="S55" s="5"/>
      <c r="T55" s="5"/>
      <c r="U55" s="5"/>
      <c r="V55" s="24" t="s">
        <v>77</v>
      </c>
      <c r="W55" s="100">
        <v>241141</v>
      </c>
      <c r="X55" s="100">
        <v>241186</v>
      </c>
      <c r="Y55" s="7" t="s">
        <v>96</v>
      </c>
      <c r="Z55" s="6">
        <v>60036147018</v>
      </c>
      <c r="AA55" s="153">
        <v>600305012289</v>
      </c>
      <c r="AB55" s="153">
        <v>7009670066</v>
      </c>
    </row>
    <row r="56" spans="1:28" ht="63" x14ac:dyDescent="0.2">
      <c r="A56" s="8">
        <v>4.8</v>
      </c>
      <c r="B56" s="2"/>
      <c r="C56" s="9" t="s">
        <v>97</v>
      </c>
      <c r="D56" s="116" t="s">
        <v>91</v>
      </c>
      <c r="E56" s="4">
        <v>753000</v>
      </c>
      <c r="F56" s="5"/>
      <c r="G56" s="5"/>
      <c r="H56" s="5"/>
      <c r="I56" s="5"/>
      <c r="J56" s="5"/>
      <c r="K56" s="5">
        <f>[1]ยอดรวมรายหน่วย!Q81</f>
        <v>640000</v>
      </c>
      <c r="L56" s="5">
        <f>E56-K56-M56-O56</f>
        <v>0</v>
      </c>
      <c r="M56" s="5">
        <f>113000-O56</f>
        <v>0</v>
      </c>
      <c r="N56" s="5">
        <f>K56*100/E56</f>
        <v>84.993359893758296</v>
      </c>
      <c r="O56" s="5">
        <f>U56</f>
        <v>113000</v>
      </c>
      <c r="P56" s="5"/>
      <c r="Q56" s="5"/>
      <c r="R56" s="5"/>
      <c r="S56" s="5"/>
      <c r="T56" s="5"/>
      <c r="U56" s="5">
        <v>113000</v>
      </c>
      <c r="V56" s="24" t="s">
        <v>77</v>
      </c>
    </row>
    <row r="57" spans="1:28" ht="63" x14ac:dyDescent="0.2">
      <c r="A57" s="8">
        <v>4.9000000000000004</v>
      </c>
      <c r="B57" s="2"/>
      <c r="C57" s="9" t="s">
        <v>98</v>
      </c>
      <c r="D57" s="10" t="s">
        <v>70</v>
      </c>
      <c r="E57" s="4">
        <v>1188900</v>
      </c>
      <c r="F57" s="5"/>
      <c r="G57" s="5"/>
      <c r="H57" s="5"/>
      <c r="I57" s="5"/>
      <c r="J57" s="5"/>
      <c r="K57" s="5">
        <f>[1]ยอดรวมรายหน่วย!I75</f>
        <v>0</v>
      </c>
      <c r="L57" s="5">
        <f>E57-K57-M57-O57</f>
        <v>1188900</v>
      </c>
      <c r="M57" s="5"/>
      <c r="N57" s="5">
        <f>K57*100/E57</f>
        <v>0</v>
      </c>
      <c r="O57" s="5"/>
      <c r="P57" s="5"/>
      <c r="Q57" s="5"/>
      <c r="R57" s="5"/>
      <c r="S57" s="5"/>
      <c r="T57" s="5"/>
      <c r="U57" s="5"/>
      <c r="V57" s="2" t="s">
        <v>99</v>
      </c>
    </row>
    <row r="58" spans="1:28" s="16" customFormat="1" x14ac:dyDescent="0.2">
      <c r="A58" s="154"/>
      <c r="B58" s="137"/>
      <c r="C58" s="138" t="s">
        <v>100</v>
      </c>
      <c r="D58" s="155"/>
      <c r="E58" s="140">
        <f>SUM(E49:E56)</f>
        <v>7508100</v>
      </c>
      <c r="F58" s="141"/>
      <c r="G58" s="141"/>
      <c r="H58" s="141"/>
      <c r="I58" s="141"/>
      <c r="J58" s="141"/>
      <c r="K58" s="141">
        <f>SUM(K49:K56)</f>
        <v>6882800</v>
      </c>
      <c r="L58" s="141">
        <f>E58-K58-M58</f>
        <v>625300</v>
      </c>
      <c r="M58" s="141">
        <f>SUM(M49:M56)</f>
        <v>0</v>
      </c>
      <c r="N58" s="141">
        <f>K58*100/E58</f>
        <v>91.671661272492372</v>
      </c>
      <c r="O58" s="141"/>
      <c r="P58" s="141"/>
      <c r="Q58" s="141"/>
      <c r="R58" s="141"/>
      <c r="S58" s="141"/>
      <c r="T58" s="141"/>
      <c r="U58" s="141"/>
      <c r="V58" s="137"/>
      <c r="Y58" s="17"/>
    </row>
    <row r="59" spans="1:28" ht="42" x14ac:dyDescent="0.2">
      <c r="A59" s="25">
        <v>5</v>
      </c>
      <c r="B59" s="42"/>
      <c r="C59" s="103" t="s">
        <v>101</v>
      </c>
      <c r="D59" s="156"/>
      <c r="E59" s="105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42"/>
    </row>
    <row r="60" spans="1:28" ht="112.5" customHeight="1" x14ac:dyDescent="0.2">
      <c r="A60" s="108">
        <v>5.0999999999999996</v>
      </c>
      <c r="B60" s="59"/>
      <c r="C60" s="59" t="s">
        <v>102</v>
      </c>
      <c r="D60" s="59" t="s">
        <v>64</v>
      </c>
      <c r="E60" s="57">
        <v>1958000</v>
      </c>
      <c r="F60" s="58"/>
      <c r="G60" s="58"/>
      <c r="H60" s="58"/>
      <c r="I60" s="58"/>
      <c r="J60" s="58"/>
      <c r="K60" s="58">
        <f>[1]อ.เกาะคา!I23</f>
        <v>1751540</v>
      </c>
      <c r="L60" s="58">
        <f>E60-K60-M60-O60</f>
        <v>0</v>
      </c>
      <c r="M60" s="58"/>
      <c r="N60" s="58">
        <f>K60*100/E60</f>
        <v>89.455566905005114</v>
      </c>
      <c r="O60" s="58">
        <f>P60+U60</f>
        <v>206460</v>
      </c>
      <c r="P60" s="58">
        <v>25000</v>
      </c>
      <c r="Q60" s="58"/>
      <c r="R60" s="58"/>
      <c r="S60" s="58"/>
      <c r="T60" s="58"/>
      <c r="U60" s="58">
        <v>181460</v>
      </c>
      <c r="V60" s="59"/>
    </row>
    <row r="61" spans="1:28" s="16" customFormat="1" x14ac:dyDescent="0.2">
      <c r="A61" s="158"/>
      <c r="B61" s="137"/>
      <c r="C61" s="138" t="s">
        <v>28</v>
      </c>
      <c r="D61" s="137"/>
      <c r="E61" s="140">
        <f>SUM(E60)</f>
        <v>1958000</v>
      </c>
      <c r="F61" s="141"/>
      <c r="G61" s="141"/>
      <c r="H61" s="141"/>
      <c r="I61" s="141"/>
      <c r="J61" s="141"/>
      <c r="K61" s="141">
        <f>SUM(K60)</f>
        <v>1751540</v>
      </c>
      <c r="L61" s="141">
        <f>E61-K61-M61</f>
        <v>206460</v>
      </c>
      <c r="M61" s="141">
        <f>SUM(M60)</f>
        <v>0</v>
      </c>
      <c r="N61" s="141">
        <f>K61*100/E61</f>
        <v>89.455566905005114</v>
      </c>
      <c r="O61" s="141"/>
      <c r="P61" s="141"/>
      <c r="Q61" s="141"/>
      <c r="R61" s="141"/>
      <c r="S61" s="141"/>
      <c r="T61" s="141"/>
      <c r="U61" s="141"/>
      <c r="V61" s="137"/>
      <c r="Y61" s="17"/>
    </row>
    <row r="62" spans="1:28" ht="42" x14ac:dyDescent="0.2">
      <c r="A62" s="113">
        <v>6</v>
      </c>
      <c r="B62" s="32"/>
      <c r="C62" s="13" t="s">
        <v>103</v>
      </c>
      <c r="D62" s="32"/>
      <c r="E62" s="14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32"/>
    </row>
    <row r="63" spans="1:28" ht="92.25" customHeight="1" x14ac:dyDescent="0.2">
      <c r="A63" s="80">
        <v>6.1</v>
      </c>
      <c r="B63" s="24"/>
      <c r="C63" s="24" t="s">
        <v>104</v>
      </c>
      <c r="D63" s="35" t="s">
        <v>64</v>
      </c>
      <c r="E63" s="60">
        <v>642000</v>
      </c>
      <c r="F63" s="23"/>
      <c r="G63" s="23"/>
      <c r="H63" s="23"/>
      <c r="I63" s="23"/>
      <c r="J63" s="23"/>
      <c r="K63" s="23">
        <f>[1]อ.เกาะคา!I30</f>
        <v>344000</v>
      </c>
      <c r="L63" s="23">
        <f>E63-K63-M63-O63</f>
        <v>0</v>
      </c>
      <c r="M63" s="23">
        <f>298000-O63</f>
        <v>0</v>
      </c>
      <c r="N63" s="23">
        <f>K63*100/E63</f>
        <v>53.582554517133957</v>
      </c>
      <c r="O63" s="23">
        <f>P63+T63+U63</f>
        <v>298000</v>
      </c>
      <c r="P63" s="23">
        <f>250000+20000</f>
        <v>270000</v>
      </c>
      <c r="Q63" s="23"/>
      <c r="R63" s="23"/>
      <c r="S63" s="23"/>
      <c r="T63" s="23"/>
      <c r="U63" s="23">
        <v>28000</v>
      </c>
      <c r="V63" s="24"/>
    </row>
    <row r="64" spans="1:28" s="16" customFormat="1" x14ac:dyDescent="0.2">
      <c r="A64" s="158"/>
      <c r="B64" s="137"/>
      <c r="C64" s="138" t="s">
        <v>28</v>
      </c>
      <c r="D64" s="139"/>
      <c r="E64" s="140">
        <f>SUM(E63)</f>
        <v>642000</v>
      </c>
      <c r="F64" s="141"/>
      <c r="G64" s="141"/>
      <c r="H64" s="141"/>
      <c r="I64" s="141"/>
      <c r="J64" s="141"/>
      <c r="K64" s="141">
        <f>SUM(K63)</f>
        <v>344000</v>
      </c>
      <c r="L64" s="141">
        <f>E64-K64-M64</f>
        <v>298000</v>
      </c>
      <c r="M64" s="141">
        <f>SUM(M63)</f>
        <v>0</v>
      </c>
      <c r="N64" s="141">
        <f>K64*100/E64</f>
        <v>53.582554517133957</v>
      </c>
      <c r="O64" s="141"/>
      <c r="P64" s="141"/>
      <c r="Q64" s="141"/>
      <c r="R64" s="141"/>
      <c r="S64" s="141"/>
      <c r="T64" s="141"/>
      <c r="U64" s="141"/>
      <c r="V64" s="137"/>
      <c r="Y64" s="17"/>
    </row>
    <row r="65" spans="1:25" ht="63" x14ac:dyDescent="0.2">
      <c r="A65" s="113">
        <v>7</v>
      </c>
      <c r="B65" s="32"/>
      <c r="C65" s="12" t="s">
        <v>105</v>
      </c>
      <c r="D65" s="28"/>
      <c r="E65" s="52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32"/>
    </row>
    <row r="66" spans="1:25" ht="84" x14ac:dyDescent="0.2">
      <c r="A66" s="80">
        <v>7.1</v>
      </c>
      <c r="B66" s="24"/>
      <c r="C66" s="81" t="s">
        <v>106</v>
      </c>
      <c r="D66" s="81" t="s">
        <v>107</v>
      </c>
      <c r="E66" s="60">
        <v>3500000</v>
      </c>
      <c r="F66" s="23"/>
      <c r="G66" s="23"/>
      <c r="H66" s="23"/>
      <c r="I66" s="23"/>
      <c r="J66" s="23"/>
      <c r="K66" s="23">
        <f>[1]สนจ.ลป!I6</f>
        <v>3380000</v>
      </c>
      <c r="L66" s="23">
        <f>E66-K66-M66-O66</f>
        <v>0</v>
      </c>
      <c r="M66" s="23">
        <f>120000-O66</f>
        <v>0</v>
      </c>
      <c r="N66" s="23">
        <f>K66*100/E66</f>
        <v>96.571428571428569</v>
      </c>
      <c r="O66" s="23">
        <f>U66</f>
        <v>120000</v>
      </c>
      <c r="P66" s="23"/>
      <c r="Q66" s="23"/>
      <c r="R66" s="23"/>
      <c r="S66" s="23"/>
      <c r="T66" s="23"/>
      <c r="U66" s="23">
        <v>120000</v>
      </c>
      <c r="V66" s="24"/>
    </row>
    <row r="67" spans="1:25" ht="84" x14ac:dyDescent="0.2">
      <c r="A67" s="80">
        <v>7.2</v>
      </c>
      <c r="B67" s="24"/>
      <c r="C67" s="81" t="s">
        <v>108</v>
      </c>
      <c r="D67" s="81" t="s">
        <v>107</v>
      </c>
      <c r="E67" s="60">
        <v>1400000</v>
      </c>
      <c r="F67" s="23"/>
      <c r="G67" s="23"/>
      <c r="H67" s="23"/>
      <c r="I67" s="23"/>
      <c r="J67" s="23"/>
      <c r="K67" s="23">
        <f>[1]สนจ.ลป!I16</f>
        <v>1235000</v>
      </c>
      <c r="L67" s="23">
        <f>E67-K67-M67-O67</f>
        <v>0</v>
      </c>
      <c r="M67" s="23">
        <f>165000-O67</f>
        <v>0</v>
      </c>
      <c r="N67" s="23">
        <f t="shared" ref="N67:N68" si="6">K67*100/E67</f>
        <v>88.214285714285708</v>
      </c>
      <c r="O67" s="23">
        <f>U67</f>
        <v>165000</v>
      </c>
      <c r="P67" s="23"/>
      <c r="Q67" s="23"/>
      <c r="R67" s="23"/>
      <c r="S67" s="23"/>
      <c r="T67" s="23"/>
      <c r="U67" s="23">
        <v>165000</v>
      </c>
      <c r="V67" s="24"/>
    </row>
    <row r="68" spans="1:25" ht="84" x14ac:dyDescent="0.2">
      <c r="A68" s="80">
        <v>7.3</v>
      </c>
      <c r="B68" s="24"/>
      <c r="C68" s="81" t="s">
        <v>109</v>
      </c>
      <c r="D68" s="81" t="s">
        <v>110</v>
      </c>
      <c r="E68" s="60">
        <v>1750000</v>
      </c>
      <c r="F68" s="23"/>
      <c r="G68" s="23"/>
      <c r="H68" s="23"/>
      <c r="I68" s="23"/>
      <c r="J68" s="23"/>
      <c r="K68" s="23">
        <f>[1]ท่องเที่ยวและกีฬา!G6</f>
        <v>0</v>
      </c>
      <c r="L68" s="23">
        <f t="shared" ref="L68" si="7">E68-K68-M68</f>
        <v>1750000</v>
      </c>
      <c r="M68" s="23"/>
      <c r="N68" s="23">
        <f t="shared" si="6"/>
        <v>0</v>
      </c>
      <c r="O68" s="23"/>
      <c r="P68" s="23"/>
      <c r="Q68" s="23"/>
      <c r="R68" s="23"/>
      <c r="S68" s="23"/>
      <c r="T68" s="23"/>
      <c r="U68" s="23"/>
      <c r="V68" s="24"/>
    </row>
    <row r="69" spans="1:25" ht="92.25" customHeight="1" x14ac:dyDescent="0.2">
      <c r="A69" s="80">
        <v>7.4</v>
      </c>
      <c r="B69" s="24"/>
      <c r="C69" s="20" t="s">
        <v>111</v>
      </c>
      <c r="D69" s="116" t="s">
        <v>39</v>
      </c>
      <c r="E69" s="82">
        <v>500000</v>
      </c>
      <c r="F69" s="23"/>
      <c r="G69" s="23"/>
      <c r="H69" s="23"/>
      <c r="I69" s="23"/>
      <c r="J69" s="23"/>
      <c r="K69" s="23">
        <f>[1]ยอดรวมรายหน่วย!Q83</f>
        <v>500000</v>
      </c>
      <c r="L69" s="23">
        <f>E69-K69-M69</f>
        <v>0</v>
      </c>
      <c r="M69" s="23"/>
      <c r="N69" s="23">
        <f>K69*100/E69</f>
        <v>100</v>
      </c>
      <c r="O69" s="23"/>
      <c r="P69" s="23"/>
      <c r="Q69" s="23"/>
      <c r="R69" s="23"/>
      <c r="S69" s="23"/>
      <c r="T69" s="23"/>
      <c r="U69" s="23"/>
      <c r="V69" s="24" t="s">
        <v>99</v>
      </c>
    </row>
    <row r="70" spans="1:25" s="16" customFormat="1" x14ac:dyDescent="0.2">
      <c r="A70" s="136"/>
      <c r="B70" s="137"/>
      <c r="C70" s="138" t="s">
        <v>112</v>
      </c>
      <c r="D70" s="159"/>
      <c r="E70" s="140">
        <f>SUM(E66:E68)</f>
        <v>6650000</v>
      </c>
      <c r="F70" s="141"/>
      <c r="G70" s="141"/>
      <c r="H70" s="141"/>
      <c r="I70" s="141"/>
      <c r="J70" s="141"/>
      <c r="K70" s="141">
        <f>SUM(K66:K69)</f>
        <v>5115000</v>
      </c>
      <c r="L70" s="141">
        <f>E70-K70-M70</f>
        <v>1535000</v>
      </c>
      <c r="M70" s="141">
        <f>SUM(M66:M69)</f>
        <v>0</v>
      </c>
      <c r="N70" s="141">
        <f>K70*100/E70</f>
        <v>76.917293233082702</v>
      </c>
      <c r="O70" s="141"/>
      <c r="P70" s="141"/>
      <c r="Q70" s="141"/>
      <c r="R70" s="141"/>
      <c r="S70" s="141"/>
      <c r="T70" s="141"/>
      <c r="U70" s="141"/>
      <c r="V70" s="137"/>
      <c r="Y70" s="17"/>
    </row>
    <row r="71" spans="1:25" s="16" customFormat="1" x14ac:dyDescent="0.2">
      <c r="A71" s="11">
        <v>19</v>
      </c>
      <c r="B71" s="12"/>
      <c r="C71" s="13" t="s">
        <v>113</v>
      </c>
      <c r="D71" s="13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2"/>
      <c r="Y71" s="17"/>
    </row>
    <row r="72" spans="1:25" s="16" customFormat="1" ht="133.5" customHeight="1" x14ac:dyDescent="0.2">
      <c r="A72" s="18">
        <v>19.100000000000001</v>
      </c>
      <c r="B72" s="19"/>
      <c r="C72" s="20" t="s">
        <v>114</v>
      </c>
      <c r="D72" s="21" t="s">
        <v>115</v>
      </c>
      <c r="E72" s="82">
        <v>2000000</v>
      </c>
      <c r="F72" s="22"/>
      <c r="G72" s="22"/>
      <c r="H72" s="22"/>
      <c r="I72" s="22"/>
      <c r="J72" s="22"/>
      <c r="K72" s="23">
        <f>[1]ยอดรวมรายหน่วย!Q125</f>
        <v>1818225</v>
      </c>
      <c r="L72" s="23">
        <f>E72-K72-M72-O72</f>
        <v>0</v>
      </c>
      <c r="M72" s="23">
        <f>181775-O72</f>
        <v>0</v>
      </c>
      <c r="N72" s="23">
        <f>K72*100/E72</f>
        <v>90.911249999999995</v>
      </c>
      <c r="O72" s="23">
        <f>U72</f>
        <v>181775</v>
      </c>
      <c r="P72" s="22"/>
      <c r="Q72" s="22"/>
      <c r="R72" s="22"/>
      <c r="S72" s="22"/>
      <c r="T72" s="22"/>
      <c r="U72" s="23">
        <v>181775</v>
      </c>
      <c r="V72" s="24" t="s">
        <v>116</v>
      </c>
      <c r="Y72" s="17"/>
    </row>
    <row r="73" spans="1:25" s="16" customFormat="1" ht="177.75" customHeight="1" x14ac:dyDescent="0.2">
      <c r="A73" s="18">
        <v>19.2</v>
      </c>
      <c r="B73" s="19"/>
      <c r="C73" s="20" t="s">
        <v>117</v>
      </c>
      <c r="D73" s="21" t="s">
        <v>118</v>
      </c>
      <c r="E73" s="82">
        <v>1000000</v>
      </c>
      <c r="F73" s="22"/>
      <c r="G73" s="22"/>
      <c r="H73" s="22"/>
      <c r="I73" s="22"/>
      <c r="J73" s="22"/>
      <c r="K73" s="23">
        <f>[1]ยอดรวมรายหน่วย!Q120</f>
        <v>510000</v>
      </c>
      <c r="L73" s="23">
        <f>E73-K73-M73</f>
        <v>490000</v>
      </c>
      <c r="M73" s="22"/>
      <c r="N73" s="23">
        <f>K73*100/E73</f>
        <v>51</v>
      </c>
      <c r="O73" s="22"/>
      <c r="P73" s="22"/>
      <c r="Q73" s="22"/>
      <c r="R73" s="22"/>
      <c r="S73" s="22"/>
      <c r="T73" s="22"/>
      <c r="U73" s="22"/>
      <c r="V73" s="24" t="s">
        <v>116</v>
      </c>
      <c r="Y73" s="17"/>
    </row>
    <row r="74" spans="1:25" s="16" customFormat="1" x14ac:dyDescent="0.2">
      <c r="A74" s="136"/>
      <c r="B74" s="137"/>
      <c r="C74" s="138" t="s">
        <v>119</v>
      </c>
      <c r="D74" s="160"/>
      <c r="E74" s="140">
        <f>SUM(E72:E73)</f>
        <v>3000000</v>
      </c>
      <c r="F74" s="141"/>
      <c r="G74" s="141"/>
      <c r="H74" s="141"/>
      <c r="I74" s="141"/>
      <c r="J74" s="141"/>
      <c r="K74" s="141">
        <f>SUM(K72:K73)</f>
        <v>2328225</v>
      </c>
      <c r="L74" s="141">
        <f>E74-K74-M74</f>
        <v>671775</v>
      </c>
      <c r="M74" s="141">
        <f>SUM(M72:M73)</f>
        <v>0</v>
      </c>
      <c r="N74" s="141">
        <f>K74*100/E74</f>
        <v>77.607500000000002</v>
      </c>
      <c r="O74" s="141"/>
      <c r="P74" s="141"/>
      <c r="Q74" s="141"/>
      <c r="R74" s="141"/>
      <c r="S74" s="141"/>
      <c r="T74" s="141"/>
      <c r="U74" s="141"/>
      <c r="V74" s="137"/>
      <c r="Y74" s="17"/>
    </row>
    <row r="75" spans="1:25" ht="63" x14ac:dyDescent="0.2">
      <c r="A75" s="113">
        <v>8</v>
      </c>
      <c r="B75" s="32"/>
      <c r="C75" s="12" t="s">
        <v>120</v>
      </c>
      <c r="D75" s="28"/>
      <c r="E75" s="52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32"/>
    </row>
    <row r="76" spans="1:25" ht="84" x14ac:dyDescent="0.2">
      <c r="A76" s="80">
        <v>8.1</v>
      </c>
      <c r="B76" s="24"/>
      <c r="C76" s="24" t="s">
        <v>121</v>
      </c>
      <c r="D76" s="35" t="s">
        <v>122</v>
      </c>
      <c r="E76" s="60">
        <v>1878700</v>
      </c>
      <c r="F76" s="23"/>
      <c r="G76" s="23"/>
      <c r="H76" s="23"/>
      <c r="I76" s="23"/>
      <c r="J76" s="23"/>
      <c r="K76" s="23">
        <f>[1]สนง.พัฒนาชุมชน!I5</f>
        <v>250000</v>
      </c>
      <c r="L76" s="23">
        <f>E76-K76-M76</f>
        <v>1628700</v>
      </c>
      <c r="M76" s="23"/>
      <c r="N76" s="23">
        <f>K76*100/E76</f>
        <v>13.307074040559961</v>
      </c>
      <c r="O76" s="23"/>
      <c r="P76" s="23"/>
      <c r="Q76" s="23"/>
      <c r="R76" s="23"/>
      <c r="S76" s="23"/>
      <c r="T76" s="23"/>
      <c r="U76" s="23"/>
      <c r="V76" s="24"/>
    </row>
    <row r="77" spans="1:25" s="16" customFormat="1" x14ac:dyDescent="0.2">
      <c r="A77" s="158"/>
      <c r="B77" s="137"/>
      <c r="C77" s="138" t="s">
        <v>28</v>
      </c>
      <c r="D77" s="139"/>
      <c r="E77" s="140">
        <f>SUM(E76)</f>
        <v>1878700</v>
      </c>
      <c r="F77" s="141"/>
      <c r="G77" s="141"/>
      <c r="H77" s="141"/>
      <c r="I77" s="141"/>
      <c r="J77" s="141"/>
      <c r="K77" s="141">
        <f>SUM(K76)</f>
        <v>250000</v>
      </c>
      <c r="L77" s="141">
        <f>E77-K77-M77</f>
        <v>1628700</v>
      </c>
      <c r="M77" s="141">
        <f>SUM(M76)</f>
        <v>0</v>
      </c>
      <c r="N77" s="141"/>
      <c r="O77" s="141"/>
      <c r="P77" s="141"/>
      <c r="Q77" s="141"/>
      <c r="R77" s="141"/>
      <c r="S77" s="141"/>
      <c r="T77" s="141"/>
      <c r="U77" s="141"/>
      <c r="V77" s="137"/>
      <c r="Y77" s="17"/>
    </row>
    <row r="78" spans="1:25" ht="84" x14ac:dyDescent="0.2">
      <c r="A78" s="25">
        <v>24</v>
      </c>
      <c r="B78" s="26"/>
      <c r="C78" s="161" t="s">
        <v>123</v>
      </c>
      <c r="D78" s="162" t="s">
        <v>124</v>
      </c>
      <c r="E78" s="27">
        <v>1450000</v>
      </c>
      <c r="F78" s="28"/>
      <c r="G78" s="28"/>
      <c r="H78" s="29"/>
      <c r="I78" s="28"/>
      <c r="J78" s="30" t="s">
        <v>124</v>
      </c>
      <c r="K78" s="23">
        <f>[1]ยอดรวมรายหน่วย!Q85</f>
        <v>570900</v>
      </c>
      <c r="L78" s="31">
        <f>E78-K78-M78</f>
        <v>879100</v>
      </c>
      <c r="M78" s="32"/>
      <c r="N78" s="33">
        <f>K78*100/E78</f>
        <v>39.372413793103448</v>
      </c>
      <c r="O78" s="32"/>
      <c r="P78" s="32"/>
      <c r="Q78" s="32"/>
      <c r="R78" s="32"/>
      <c r="S78" s="32"/>
      <c r="T78" s="32"/>
      <c r="U78" s="32"/>
      <c r="V78" s="50" t="s">
        <v>99</v>
      </c>
    </row>
    <row r="79" spans="1:25" ht="63" x14ac:dyDescent="0.35">
      <c r="A79" s="34"/>
      <c r="B79" s="26"/>
      <c r="C79" s="163" t="s">
        <v>125</v>
      </c>
      <c r="D79" s="24"/>
      <c r="E79" s="164">
        <v>1000000</v>
      </c>
      <c r="F79" s="35"/>
      <c r="G79" s="35"/>
      <c r="H79" s="36"/>
      <c r="I79" s="35"/>
      <c r="J79" s="35"/>
      <c r="K79" s="23">
        <f>[1]ยอดรวมรายหน่วย!Q86</f>
        <v>0</v>
      </c>
      <c r="L79" s="37">
        <f t="shared" ref="L79:L81" si="8">E79-K79-M79</f>
        <v>1000000</v>
      </c>
      <c r="M79" s="38"/>
      <c r="N79" s="39">
        <f t="shared" ref="N79:N81" si="9">K79*100/E79</f>
        <v>0</v>
      </c>
      <c r="O79" s="24"/>
      <c r="P79" s="24"/>
      <c r="Q79" s="24"/>
      <c r="R79" s="24"/>
      <c r="S79" s="24"/>
      <c r="T79" s="24"/>
      <c r="U79" s="24"/>
      <c r="V79" s="24"/>
    </row>
    <row r="80" spans="1:25" x14ac:dyDescent="0.35">
      <c r="A80" s="34"/>
      <c r="B80" s="26"/>
      <c r="C80" s="163" t="s">
        <v>126</v>
      </c>
      <c r="D80" s="24"/>
      <c r="E80" s="40">
        <v>800000</v>
      </c>
      <c r="F80" s="35"/>
      <c r="G80" s="35"/>
      <c r="H80" s="36"/>
      <c r="I80" s="35"/>
      <c r="J80" s="35"/>
      <c r="K80" s="23">
        <f>[1]ยอดรวมรายหน่วย!Q88</f>
        <v>0</v>
      </c>
      <c r="L80" s="37">
        <f t="shared" si="8"/>
        <v>800000</v>
      </c>
      <c r="M80" s="24"/>
      <c r="N80" s="39">
        <f t="shared" si="9"/>
        <v>0</v>
      </c>
      <c r="O80" s="24"/>
      <c r="P80" s="24"/>
      <c r="Q80" s="24"/>
      <c r="R80" s="24"/>
      <c r="S80" s="24"/>
      <c r="T80" s="24"/>
      <c r="U80" s="24"/>
      <c r="V80" s="24"/>
    </row>
    <row r="81" spans="1:25" ht="42" x14ac:dyDescent="0.35">
      <c r="A81" s="41"/>
      <c r="B81" s="26"/>
      <c r="C81" s="163" t="s">
        <v>127</v>
      </c>
      <c r="D81" s="24"/>
      <c r="E81" s="164">
        <v>1000000</v>
      </c>
      <c r="F81" s="35"/>
      <c r="G81" s="35"/>
      <c r="H81" s="36"/>
      <c r="I81" s="35"/>
      <c r="J81" s="35"/>
      <c r="K81" s="23">
        <f>[1]ยอดรวมรายหน่วย!Q87</f>
        <v>0</v>
      </c>
      <c r="L81" s="37">
        <f t="shared" si="8"/>
        <v>1000000</v>
      </c>
      <c r="M81" s="24"/>
      <c r="N81" s="39">
        <f t="shared" si="9"/>
        <v>0</v>
      </c>
      <c r="O81" s="24"/>
      <c r="P81" s="24"/>
      <c r="Q81" s="24"/>
      <c r="R81" s="24"/>
      <c r="S81" s="24"/>
      <c r="T81" s="24"/>
      <c r="U81" s="24"/>
      <c r="V81" s="24"/>
    </row>
    <row r="82" spans="1:25" ht="24.75" customHeight="1" x14ac:dyDescent="0.2">
      <c r="A82" s="165"/>
      <c r="B82" s="127"/>
      <c r="C82" s="138" t="s">
        <v>128</v>
      </c>
      <c r="D82" s="66"/>
      <c r="E82" s="166">
        <f>SUM(E78:E81)</f>
        <v>4250000</v>
      </c>
      <c r="F82" s="166">
        <f t="shared" ref="F82:L82" si="10">SUM(F78:F81)</f>
        <v>0</v>
      </c>
      <c r="G82" s="166">
        <f t="shared" si="10"/>
        <v>0</v>
      </c>
      <c r="H82" s="166">
        <f t="shared" si="10"/>
        <v>0</v>
      </c>
      <c r="I82" s="166">
        <f t="shared" si="10"/>
        <v>0</v>
      </c>
      <c r="J82" s="166">
        <f t="shared" si="10"/>
        <v>0</v>
      </c>
      <c r="K82" s="166">
        <f>SUM(K78:K81)</f>
        <v>570900</v>
      </c>
      <c r="L82" s="166">
        <f t="shared" si="10"/>
        <v>3679100</v>
      </c>
      <c r="M82" s="167">
        <f>SUM(M78:M81)</f>
        <v>0</v>
      </c>
      <c r="N82" s="168"/>
      <c r="O82" s="66"/>
      <c r="P82" s="66"/>
      <c r="Q82" s="66"/>
      <c r="R82" s="66"/>
      <c r="S82" s="66"/>
      <c r="T82" s="66"/>
      <c r="U82" s="66"/>
      <c r="V82" s="66"/>
    </row>
    <row r="83" spans="1:25" ht="42" x14ac:dyDescent="0.2">
      <c r="A83" s="113">
        <v>9</v>
      </c>
      <c r="B83" s="32"/>
      <c r="C83" s="12" t="s">
        <v>129</v>
      </c>
      <c r="D83" s="28"/>
      <c r="E83" s="52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32"/>
    </row>
    <row r="84" spans="1:25" ht="84" x14ac:dyDescent="0.2">
      <c r="A84" s="80">
        <v>9.1</v>
      </c>
      <c r="B84" s="24"/>
      <c r="C84" s="24" t="s">
        <v>130</v>
      </c>
      <c r="D84" s="35" t="s">
        <v>131</v>
      </c>
      <c r="E84" s="60">
        <v>1250000</v>
      </c>
      <c r="F84" s="23"/>
      <c r="G84" s="23"/>
      <c r="H84" s="23"/>
      <c r="I84" s="23"/>
      <c r="J84" s="23"/>
      <c r="K84" s="23">
        <f>'[1]สถาบันพัฒนาฝีมือแรงงาน ภาค 10'!I5</f>
        <v>1240986</v>
      </c>
      <c r="L84" s="23">
        <f>E84-K84-M84</f>
        <v>9014</v>
      </c>
      <c r="M84" s="23"/>
      <c r="N84" s="23">
        <f>K84*100/E84</f>
        <v>99.278880000000001</v>
      </c>
      <c r="O84" s="23"/>
      <c r="P84" s="23"/>
      <c r="Q84" s="23"/>
      <c r="R84" s="23"/>
      <c r="S84" s="23"/>
      <c r="T84" s="23"/>
      <c r="U84" s="23"/>
      <c r="V84" s="24"/>
    </row>
    <row r="85" spans="1:25" ht="105" x14ac:dyDescent="0.2">
      <c r="A85" s="80">
        <v>9.1999999999999993</v>
      </c>
      <c r="B85" s="24"/>
      <c r="C85" s="24" t="s">
        <v>132</v>
      </c>
      <c r="D85" s="35" t="s">
        <v>133</v>
      </c>
      <c r="E85" s="60">
        <v>1500000</v>
      </c>
      <c r="F85" s="23"/>
      <c r="G85" s="23"/>
      <c r="H85" s="23"/>
      <c r="I85" s="23"/>
      <c r="J85" s="23"/>
      <c r="K85" s="23">
        <f>[1]สนง.พลังงาน!H5</f>
        <v>300000</v>
      </c>
      <c r="L85" s="23">
        <f t="shared" ref="L85" si="11">E85-K85-M85</f>
        <v>1200000</v>
      </c>
      <c r="M85" s="23"/>
      <c r="N85" s="23">
        <f t="shared" ref="N85:N86" si="12">K85*100/E85</f>
        <v>20</v>
      </c>
      <c r="O85" s="23"/>
      <c r="P85" s="23"/>
      <c r="Q85" s="23"/>
      <c r="R85" s="23"/>
      <c r="S85" s="23"/>
      <c r="T85" s="23"/>
      <c r="U85" s="23"/>
      <c r="V85" s="24"/>
    </row>
    <row r="86" spans="1:25" ht="84" x14ac:dyDescent="0.2">
      <c r="A86" s="80">
        <v>9.3000000000000007</v>
      </c>
      <c r="B86" s="24"/>
      <c r="C86" s="24" t="s">
        <v>134</v>
      </c>
      <c r="D86" s="35" t="s">
        <v>135</v>
      </c>
      <c r="E86" s="60">
        <v>5000000</v>
      </c>
      <c r="F86" s="23"/>
      <c r="G86" s="23"/>
      <c r="H86" s="23"/>
      <c r="I86" s="23"/>
      <c r="J86" s="23"/>
      <c r="K86" s="23">
        <f>[1]สนจ.ลป!I26</f>
        <v>4910000</v>
      </c>
      <c r="L86" s="23">
        <f>E86-K86-M86-O86</f>
        <v>0</v>
      </c>
      <c r="M86" s="23">
        <f>90000-O86</f>
        <v>0</v>
      </c>
      <c r="N86" s="23">
        <f t="shared" si="12"/>
        <v>98.2</v>
      </c>
      <c r="O86" s="23">
        <f>U86</f>
        <v>90000</v>
      </c>
      <c r="P86" s="23"/>
      <c r="Q86" s="23"/>
      <c r="R86" s="23"/>
      <c r="S86" s="23"/>
      <c r="T86" s="23"/>
      <c r="U86" s="23">
        <v>90000</v>
      </c>
      <c r="V86" s="24"/>
    </row>
    <row r="87" spans="1:25" ht="217.5" customHeight="1" x14ac:dyDescent="0.2">
      <c r="A87" s="80">
        <v>9.4</v>
      </c>
      <c r="B87" s="24"/>
      <c r="C87" s="24" t="s">
        <v>136</v>
      </c>
      <c r="D87" s="116" t="s">
        <v>137</v>
      </c>
      <c r="E87" s="82">
        <v>1000000</v>
      </c>
      <c r="F87" s="23"/>
      <c r="G87" s="23"/>
      <c r="H87" s="23"/>
      <c r="I87" s="23"/>
      <c r="J87" s="23"/>
      <c r="K87" s="23">
        <f>[1]ยอดรวมรายหน่วย!Q128</f>
        <v>270798</v>
      </c>
      <c r="L87" s="23">
        <f>E87-K87-M87</f>
        <v>729202</v>
      </c>
      <c r="M87" s="23"/>
      <c r="N87" s="23">
        <f>K87*100/E87</f>
        <v>27.079799999999999</v>
      </c>
      <c r="O87" s="23"/>
      <c r="P87" s="23"/>
      <c r="Q87" s="23"/>
      <c r="R87" s="23"/>
      <c r="S87" s="23"/>
      <c r="T87" s="23"/>
      <c r="U87" s="23"/>
      <c r="V87" s="24" t="s">
        <v>99</v>
      </c>
    </row>
    <row r="88" spans="1:25" s="16" customFormat="1" x14ac:dyDescent="0.2">
      <c r="A88" s="154"/>
      <c r="B88" s="137"/>
      <c r="C88" s="138" t="s">
        <v>112</v>
      </c>
      <c r="D88" s="139"/>
      <c r="E88" s="140">
        <f>SUM(E84:E86)</f>
        <v>7750000</v>
      </c>
      <c r="F88" s="141"/>
      <c r="G88" s="141"/>
      <c r="H88" s="141"/>
      <c r="I88" s="141"/>
      <c r="J88" s="141"/>
      <c r="K88" s="141">
        <f>SUM(K84:K87)</f>
        <v>6721784</v>
      </c>
      <c r="L88" s="141">
        <f>E88-K88-M88</f>
        <v>1028216</v>
      </c>
      <c r="M88" s="141">
        <f>SUM(M84:M87)</f>
        <v>0</v>
      </c>
      <c r="N88" s="141">
        <f>K88*100/E88</f>
        <v>86.732696774193542</v>
      </c>
      <c r="O88" s="141"/>
      <c r="P88" s="141"/>
      <c r="Q88" s="141"/>
      <c r="R88" s="141"/>
      <c r="S88" s="141"/>
      <c r="T88" s="141"/>
      <c r="U88" s="141"/>
      <c r="V88" s="137"/>
      <c r="Y88" s="17"/>
    </row>
    <row r="89" spans="1:25" ht="42" x14ac:dyDescent="0.2">
      <c r="A89" s="113">
        <v>10</v>
      </c>
      <c r="B89" s="32"/>
      <c r="C89" s="13" t="s">
        <v>138</v>
      </c>
      <c r="D89" s="28"/>
      <c r="E89" s="14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32"/>
    </row>
    <row r="90" spans="1:25" ht="252" x14ac:dyDescent="0.2">
      <c r="A90" s="80">
        <v>10.1</v>
      </c>
      <c r="B90" s="24"/>
      <c r="C90" s="24" t="s">
        <v>139</v>
      </c>
      <c r="D90" s="35" t="s">
        <v>140</v>
      </c>
      <c r="E90" s="60">
        <v>6338700</v>
      </c>
      <c r="F90" s="23"/>
      <c r="G90" s="23"/>
      <c r="H90" s="23"/>
      <c r="I90" s="23"/>
      <c r="J90" s="23"/>
      <c r="K90" s="23">
        <f>[1]ยอดรวมรายหน่วย!Q91</f>
        <v>5265292.2899999991</v>
      </c>
      <c r="L90" s="23">
        <f>E90-K90-M90-O90</f>
        <v>1070407.7100000009</v>
      </c>
      <c r="M90" s="23">
        <f>[1]ยอดรวมรายหน่วย!R91-O90</f>
        <v>3000</v>
      </c>
      <c r="N90" s="23">
        <f>K90*100/E90</f>
        <v>83.065806711155261</v>
      </c>
      <c r="O90" s="23">
        <f>T90</f>
        <v>0</v>
      </c>
      <c r="P90" s="23"/>
      <c r="Q90" s="23"/>
      <c r="R90" s="23"/>
      <c r="S90" s="23"/>
      <c r="T90" s="23"/>
      <c r="U90" s="23"/>
      <c r="V90" s="24"/>
    </row>
    <row r="91" spans="1:25" ht="189" x14ac:dyDescent="0.2">
      <c r="A91" s="80">
        <v>10.199999999999999</v>
      </c>
      <c r="B91" s="24"/>
      <c r="C91" s="24" t="s">
        <v>141</v>
      </c>
      <c r="D91" s="35" t="s">
        <v>140</v>
      </c>
      <c r="E91" s="60">
        <v>437400</v>
      </c>
      <c r="F91" s="23"/>
      <c r="G91" s="23"/>
      <c r="H91" s="23"/>
      <c r="I91" s="23"/>
      <c r="J91" s="23"/>
      <c r="K91" s="23">
        <f>[1]สนง.เกษตร!I69</f>
        <v>432223.35000000003</v>
      </c>
      <c r="L91" s="23">
        <f t="shared" ref="L91:L96" si="13">E91-K91-M91</f>
        <v>5176.6499999999651</v>
      </c>
      <c r="M91" s="23"/>
      <c r="N91" s="23">
        <f t="shared" ref="N91:N97" si="14">K91*100/E91</f>
        <v>98.816495198902601</v>
      </c>
      <c r="O91" s="23"/>
      <c r="P91" s="23"/>
      <c r="Q91" s="23"/>
      <c r="R91" s="23"/>
      <c r="S91" s="23"/>
      <c r="T91" s="23"/>
      <c r="U91" s="23"/>
      <c r="V91" s="24"/>
    </row>
    <row r="92" spans="1:25" ht="189" x14ac:dyDescent="0.2">
      <c r="A92" s="80">
        <v>10.3</v>
      </c>
      <c r="B92" s="24"/>
      <c r="C92" s="24" t="s">
        <v>142</v>
      </c>
      <c r="D92" s="35" t="s">
        <v>143</v>
      </c>
      <c r="E92" s="60">
        <v>1440300</v>
      </c>
      <c r="F92" s="23"/>
      <c r="G92" s="23"/>
      <c r="H92" s="23"/>
      <c r="I92" s="23"/>
      <c r="J92" s="23"/>
      <c r="K92" s="23">
        <f>[1]สนง.สหกรณ์!I5</f>
        <v>0</v>
      </c>
      <c r="L92" s="23">
        <f t="shared" si="13"/>
        <v>1440300</v>
      </c>
      <c r="M92" s="23"/>
      <c r="N92" s="23">
        <f t="shared" si="14"/>
        <v>0</v>
      </c>
      <c r="O92" s="23"/>
      <c r="P92" s="23"/>
      <c r="Q92" s="23"/>
      <c r="R92" s="23"/>
      <c r="S92" s="23"/>
      <c r="T92" s="23"/>
      <c r="U92" s="23"/>
      <c r="V92" s="24"/>
    </row>
    <row r="93" spans="1:25" ht="168" x14ac:dyDescent="0.2">
      <c r="A93" s="80">
        <v>10.4</v>
      </c>
      <c r="B93" s="24"/>
      <c r="C93" s="24" t="s">
        <v>144</v>
      </c>
      <c r="D93" s="35" t="s">
        <v>140</v>
      </c>
      <c r="E93" s="60">
        <v>1173200</v>
      </c>
      <c r="F93" s="23"/>
      <c r="G93" s="23"/>
      <c r="H93" s="23"/>
      <c r="I93" s="23"/>
      <c r="J93" s="23"/>
      <c r="K93" s="23">
        <f>[1]สนง.เกษตร!I88</f>
        <v>1155081.69</v>
      </c>
      <c r="L93" s="23">
        <f t="shared" si="13"/>
        <v>18118.310000000056</v>
      </c>
      <c r="M93" s="23"/>
      <c r="N93" s="23">
        <f t="shared" si="14"/>
        <v>98.455650357995225</v>
      </c>
      <c r="O93" s="23"/>
      <c r="P93" s="23"/>
      <c r="Q93" s="23"/>
      <c r="R93" s="23"/>
      <c r="S93" s="23"/>
      <c r="T93" s="23"/>
      <c r="U93" s="23"/>
      <c r="V93" s="24"/>
    </row>
    <row r="94" spans="1:25" ht="126" x14ac:dyDescent="0.2">
      <c r="A94" s="80">
        <v>10.5</v>
      </c>
      <c r="B94" s="24"/>
      <c r="C94" s="24" t="s">
        <v>145</v>
      </c>
      <c r="D94" s="35" t="s">
        <v>146</v>
      </c>
      <c r="E94" s="60">
        <v>1063600</v>
      </c>
      <c r="F94" s="23"/>
      <c r="G94" s="23"/>
      <c r="H94" s="23"/>
      <c r="I94" s="23"/>
      <c r="J94" s="23"/>
      <c r="K94" s="23">
        <f>[1]ยอดรวมรายหน่วย!Q99</f>
        <v>245960</v>
      </c>
      <c r="L94" s="23">
        <f t="shared" si="13"/>
        <v>817640</v>
      </c>
      <c r="M94" s="23"/>
      <c r="N94" s="23">
        <f t="shared" si="14"/>
        <v>23.125235050770968</v>
      </c>
      <c r="O94" s="23"/>
      <c r="P94" s="23"/>
      <c r="Q94" s="23"/>
      <c r="R94" s="23"/>
      <c r="S94" s="23"/>
      <c r="T94" s="23"/>
      <c r="U94" s="23"/>
      <c r="V94" s="24"/>
    </row>
    <row r="95" spans="1:25" ht="147" x14ac:dyDescent="0.2">
      <c r="A95" s="80">
        <v>10.6</v>
      </c>
      <c r="B95" s="24"/>
      <c r="C95" s="24" t="s">
        <v>147</v>
      </c>
      <c r="D95" s="35" t="s">
        <v>148</v>
      </c>
      <c r="E95" s="60">
        <v>502000</v>
      </c>
      <c r="F95" s="23"/>
      <c r="G95" s="23"/>
      <c r="H95" s="23"/>
      <c r="I95" s="23"/>
      <c r="J95" s="23"/>
      <c r="K95" s="23">
        <f>[1]สนง.ประมง!I5</f>
        <v>491990</v>
      </c>
      <c r="L95" s="23">
        <f t="shared" si="13"/>
        <v>10010</v>
      </c>
      <c r="M95" s="23"/>
      <c r="N95" s="23">
        <f t="shared" si="14"/>
        <v>98.005976095617527</v>
      </c>
      <c r="O95" s="23"/>
      <c r="P95" s="23"/>
      <c r="Q95" s="23"/>
      <c r="R95" s="23"/>
      <c r="S95" s="23"/>
      <c r="T95" s="23"/>
      <c r="U95" s="23"/>
      <c r="V95" s="24"/>
    </row>
    <row r="96" spans="1:25" ht="84" x14ac:dyDescent="0.2">
      <c r="A96" s="80">
        <v>10.7</v>
      </c>
      <c r="B96" s="24"/>
      <c r="C96" s="24" t="s">
        <v>149</v>
      </c>
      <c r="D96" s="35" t="s">
        <v>150</v>
      </c>
      <c r="E96" s="60">
        <v>2180800</v>
      </c>
      <c r="F96" s="23"/>
      <c r="G96" s="23"/>
      <c r="H96" s="23"/>
      <c r="I96" s="23"/>
      <c r="J96" s="23"/>
      <c r="K96" s="23">
        <f>[1]สนง.เกษตรและสหกรณ์!I5</f>
        <v>238220</v>
      </c>
      <c r="L96" s="23">
        <f t="shared" si="13"/>
        <v>1942580</v>
      </c>
      <c r="M96" s="23"/>
      <c r="N96" s="23">
        <f t="shared" si="14"/>
        <v>10.923514306676449</v>
      </c>
      <c r="O96" s="23"/>
      <c r="P96" s="23"/>
      <c r="Q96" s="23"/>
      <c r="R96" s="23"/>
      <c r="S96" s="23"/>
      <c r="T96" s="23"/>
      <c r="U96" s="23"/>
      <c r="V96" s="24"/>
    </row>
    <row r="97" spans="1:25" ht="210" x14ac:dyDescent="0.2">
      <c r="A97" s="80">
        <v>10.8</v>
      </c>
      <c r="B97" s="32"/>
      <c r="C97" s="24" t="s">
        <v>151</v>
      </c>
      <c r="D97" s="35" t="s">
        <v>143</v>
      </c>
      <c r="E97" s="60">
        <v>2172000</v>
      </c>
      <c r="F97" s="23"/>
      <c r="G97" s="23"/>
      <c r="H97" s="23"/>
      <c r="I97" s="23"/>
      <c r="J97" s="23"/>
      <c r="K97" s="23">
        <f>[1]สนง.สหกรณ์!I12+[1]สนง.สหกรณ์!I21</f>
        <v>1971000</v>
      </c>
      <c r="L97" s="23">
        <f>E97-K97-M97-O97</f>
        <v>0</v>
      </c>
      <c r="M97" s="23">
        <f>[1]ยอดรวมรายหน่วย!R98-O97</f>
        <v>0</v>
      </c>
      <c r="N97" s="23">
        <f t="shared" si="14"/>
        <v>90.745856353591165</v>
      </c>
      <c r="O97" s="23">
        <f>74300+126700</f>
        <v>201000</v>
      </c>
      <c r="P97" s="23">
        <f>74300+126700</f>
        <v>201000</v>
      </c>
      <c r="Q97" s="23"/>
      <c r="R97" s="23"/>
      <c r="S97" s="23"/>
      <c r="T97" s="23"/>
      <c r="U97" s="23"/>
      <c r="V97" s="24"/>
    </row>
    <row r="98" spans="1:25" ht="42" x14ac:dyDescent="0.2">
      <c r="A98" s="261">
        <v>10.9</v>
      </c>
      <c r="B98" s="2"/>
      <c r="C98" s="2" t="s">
        <v>152</v>
      </c>
      <c r="D98" s="3" t="s">
        <v>146</v>
      </c>
      <c r="E98" s="4">
        <f>SUM(E99:E101)</f>
        <v>3450000</v>
      </c>
      <c r="F98" s="5"/>
      <c r="G98" s="5"/>
      <c r="H98" s="5"/>
      <c r="I98" s="5"/>
      <c r="J98" s="5"/>
      <c r="K98" s="5">
        <f>[1]ยอดรวมรายหน่วย!Q100</f>
        <v>0</v>
      </c>
      <c r="L98" s="5">
        <f>E98-K98-M98</f>
        <v>3450000</v>
      </c>
      <c r="M98" s="5"/>
      <c r="N98" s="5">
        <f>K98*100/E98</f>
        <v>0</v>
      </c>
      <c r="O98" s="5"/>
      <c r="P98" s="5"/>
      <c r="Q98" s="5"/>
      <c r="R98" s="5"/>
      <c r="S98" s="5"/>
      <c r="T98" s="5"/>
      <c r="U98" s="5"/>
      <c r="V98" s="2" t="s">
        <v>99</v>
      </c>
    </row>
    <row r="99" spans="1:25" ht="42" x14ac:dyDescent="0.2">
      <c r="A99" s="262"/>
      <c r="B99" s="169"/>
      <c r="C99" s="170" t="s">
        <v>153</v>
      </c>
      <c r="D99" s="171"/>
      <c r="E99" s="172">
        <v>1700000</v>
      </c>
      <c r="F99" s="173"/>
      <c r="G99" s="173"/>
      <c r="H99" s="173"/>
      <c r="I99" s="173"/>
      <c r="J99" s="173"/>
      <c r="K99" s="173"/>
      <c r="L99" s="173"/>
      <c r="M99" s="173">
        <f>[1]ยอดรวมรายหน่วย!R101</f>
        <v>1750</v>
      </c>
      <c r="N99" s="173"/>
      <c r="O99" s="173"/>
      <c r="P99" s="173"/>
      <c r="Q99" s="173"/>
      <c r="R99" s="173"/>
      <c r="S99" s="173"/>
      <c r="T99" s="173"/>
      <c r="U99" s="173"/>
      <c r="V99" s="169"/>
    </row>
    <row r="100" spans="1:25" x14ac:dyDescent="0.2">
      <c r="A100" s="262"/>
      <c r="B100" s="174"/>
      <c r="C100" s="175" t="s">
        <v>154</v>
      </c>
      <c r="D100" s="176"/>
      <c r="E100" s="177">
        <v>1490000</v>
      </c>
      <c r="F100" s="178"/>
      <c r="G100" s="178"/>
      <c r="H100" s="178"/>
      <c r="I100" s="178"/>
      <c r="J100" s="178"/>
      <c r="K100" s="178"/>
      <c r="L100" s="178"/>
      <c r="M100" s="178">
        <f>[1]ยอดรวมรายหน่วย!R102</f>
        <v>1750</v>
      </c>
      <c r="N100" s="178"/>
      <c r="O100" s="178"/>
      <c r="P100" s="178"/>
      <c r="Q100" s="178"/>
      <c r="R100" s="178"/>
      <c r="S100" s="178"/>
      <c r="T100" s="178"/>
      <c r="U100" s="178"/>
      <c r="V100" s="174"/>
    </row>
    <row r="101" spans="1:25" x14ac:dyDescent="0.2">
      <c r="A101" s="263"/>
      <c r="B101" s="179"/>
      <c r="C101" s="180" t="s">
        <v>155</v>
      </c>
      <c r="D101" s="181"/>
      <c r="E101" s="182">
        <v>260000</v>
      </c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79"/>
    </row>
    <row r="102" spans="1:25" s="16" customFormat="1" x14ac:dyDescent="0.2">
      <c r="A102" s="154"/>
      <c r="B102" s="137"/>
      <c r="C102" s="138" t="s">
        <v>100</v>
      </c>
      <c r="D102" s="139"/>
      <c r="E102" s="140">
        <f>E97+E96+E95+E94+E93+E92+E91+E90</f>
        <v>15308000</v>
      </c>
      <c r="F102" s="141"/>
      <c r="G102" s="141"/>
      <c r="H102" s="141"/>
      <c r="I102" s="141"/>
      <c r="J102" s="141"/>
      <c r="K102" s="141">
        <f>SUM(K90:K98)</f>
        <v>9799767.3299999982</v>
      </c>
      <c r="L102" s="141">
        <f t="shared" ref="L102:L107" si="15">E102-K102-M102</f>
        <v>5501732.6700000018</v>
      </c>
      <c r="M102" s="141">
        <f>SUM(M90:M101)</f>
        <v>6500</v>
      </c>
      <c r="N102" s="141"/>
      <c r="O102" s="141"/>
      <c r="P102" s="141"/>
      <c r="Q102" s="141"/>
      <c r="R102" s="141"/>
      <c r="S102" s="141"/>
      <c r="T102" s="141"/>
      <c r="U102" s="141"/>
      <c r="V102" s="137"/>
      <c r="Y102" s="17"/>
    </row>
    <row r="103" spans="1:25" ht="126" x14ac:dyDescent="0.2">
      <c r="A103" s="25">
        <v>22</v>
      </c>
      <c r="B103" s="42"/>
      <c r="C103" s="43" t="s">
        <v>156</v>
      </c>
      <c r="D103" s="44" t="s">
        <v>140</v>
      </c>
      <c r="E103" s="45">
        <v>3950000</v>
      </c>
      <c r="F103" s="46"/>
      <c r="G103" s="46"/>
      <c r="H103" s="46"/>
      <c r="I103" s="46"/>
      <c r="J103" s="46"/>
      <c r="K103" s="47">
        <f>[1]ยอดรวมรายหน่วย!Q94</f>
        <v>439893</v>
      </c>
      <c r="L103" s="46">
        <f t="shared" si="15"/>
        <v>3510107</v>
      </c>
      <c r="M103" s="46"/>
      <c r="N103" s="46">
        <f>K103*100/E103</f>
        <v>11.136531645569621</v>
      </c>
      <c r="O103" s="46"/>
      <c r="P103" s="46"/>
      <c r="Q103" s="46"/>
      <c r="R103" s="46"/>
      <c r="S103" s="46"/>
      <c r="T103" s="46"/>
      <c r="U103" s="46"/>
      <c r="V103" s="48"/>
    </row>
    <row r="104" spans="1:25" x14ac:dyDescent="0.2">
      <c r="A104" s="184"/>
      <c r="B104" s="127"/>
      <c r="C104" s="185" t="s">
        <v>28</v>
      </c>
      <c r="D104" s="44"/>
      <c r="E104" s="125">
        <f>E103</f>
        <v>3950000</v>
      </c>
      <c r="F104" s="186"/>
      <c r="G104" s="186"/>
      <c r="H104" s="186"/>
      <c r="I104" s="186"/>
      <c r="J104" s="186"/>
      <c r="K104" s="186">
        <f>SUM(K103)</f>
        <v>439893</v>
      </c>
      <c r="L104" s="186">
        <f t="shared" si="15"/>
        <v>3510107</v>
      </c>
      <c r="M104" s="186">
        <f>M103</f>
        <v>0</v>
      </c>
      <c r="N104" s="186">
        <f>K104*100/E104</f>
        <v>11.136531645569621</v>
      </c>
      <c r="O104" s="186"/>
      <c r="P104" s="186"/>
      <c r="Q104" s="186"/>
      <c r="R104" s="186"/>
      <c r="S104" s="186"/>
      <c r="T104" s="186"/>
      <c r="U104" s="186"/>
      <c r="V104" s="127"/>
    </row>
    <row r="105" spans="1:25" ht="112.5" customHeight="1" x14ac:dyDescent="0.2">
      <c r="A105" s="25">
        <v>23</v>
      </c>
      <c r="B105" s="42"/>
      <c r="C105" s="49" t="s">
        <v>157</v>
      </c>
      <c r="D105" s="44" t="s">
        <v>140</v>
      </c>
      <c r="E105" s="45">
        <v>715600</v>
      </c>
      <c r="F105" s="46"/>
      <c r="G105" s="46"/>
      <c r="H105" s="46"/>
      <c r="I105" s="46"/>
      <c r="J105" s="46"/>
      <c r="K105" s="47">
        <f>[1]ยอดรวมรายหน่วย!Q95</f>
        <v>667005.19999999995</v>
      </c>
      <c r="L105" s="46">
        <f t="shared" si="15"/>
        <v>48594.800000000047</v>
      </c>
      <c r="M105" s="46"/>
      <c r="N105" s="46">
        <f>K105*100/E105</f>
        <v>93.209223029625477</v>
      </c>
      <c r="O105" s="46"/>
      <c r="P105" s="46"/>
      <c r="Q105" s="46"/>
      <c r="R105" s="46"/>
      <c r="S105" s="46"/>
      <c r="T105" s="46"/>
      <c r="U105" s="46"/>
      <c r="V105" s="48"/>
    </row>
    <row r="106" spans="1:25" x14ac:dyDescent="0.2">
      <c r="A106" s="184"/>
      <c r="B106" s="127"/>
      <c r="C106" s="185" t="s">
        <v>28</v>
      </c>
      <c r="D106" s="44"/>
      <c r="E106" s="125">
        <f>E105</f>
        <v>715600</v>
      </c>
      <c r="F106" s="186"/>
      <c r="G106" s="186"/>
      <c r="H106" s="186"/>
      <c r="I106" s="186"/>
      <c r="J106" s="186"/>
      <c r="K106" s="186">
        <f>SUM(K105)</f>
        <v>667005.19999999995</v>
      </c>
      <c r="L106" s="186">
        <f t="shared" si="15"/>
        <v>48594.800000000047</v>
      </c>
      <c r="M106" s="186">
        <f>M105</f>
        <v>0</v>
      </c>
      <c r="N106" s="186">
        <f>K106*100/E106</f>
        <v>93.209223029625477</v>
      </c>
      <c r="O106" s="186"/>
      <c r="P106" s="186"/>
      <c r="Q106" s="186"/>
      <c r="R106" s="186"/>
      <c r="S106" s="186"/>
      <c r="T106" s="186"/>
      <c r="U106" s="186"/>
      <c r="V106" s="127"/>
    </row>
    <row r="107" spans="1:25" ht="105" x14ac:dyDescent="0.2">
      <c r="A107" s="25">
        <v>25</v>
      </c>
      <c r="B107" s="26"/>
      <c r="C107" s="50" t="s">
        <v>158</v>
      </c>
      <c r="D107" s="51" t="s">
        <v>159</v>
      </c>
      <c r="E107" s="52">
        <v>1165000</v>
      </c>
      <c r="F107" s="53"/>
      <c r="G107" s="53"/>
      <c r="H107" s="53"/>
      <c r="I107" s="53"/>
      <c r="J107" s="53"/>
      <c r="K107" s="53">
        <f>[1]ยอดรวมรายหน่วย!Q103</f>
        <v>565000</v>
      </c>
      <c r="L107" s="53">
        <f t="shared" si="15"/>
        <v>600000</v>
      </c>
      <c r="M107" s="53"/>
      <c r="N107" s="53">
        <f>K107*100/E107</f>
        <v>48.497854077253216</v>
      </c>
      <c r="O107" s="53"/>
      <c r="P107" s="53"/>
      <c r="Q107" s="53"/>
      <c r="R107" s="53"/>
      <c r="S107" s="53"/>
      <c r="T107" s="53"/>
      <c r="U107" s="53"/>
      <c r="V107" s="32"/>
    </row>
    <row r="108" spans="1:25" x14ac:dyDescent="0.2">
      <c r="A108" s="34"/>
      <c r="B108" s="26"/>
      <c r="C108" s="54" t="s">
        <v>160</v>
      </c>
      <c r="D108" s="55"/>
      <c r="E108" s="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2"/>
    </row>
    <row r="109" spans="1:25" x14ac:dyDescent="0.2">
      <c r="A109" s="34"/>
      <c r="B109" s="26"/>
      <c r="C109" s="56" t="s">
        <v>161</v>
      </c>
      <c r="D109" s="55"/>
      <c r="E109" s="57">
        <v>600000</v>
      </c>
      <c r="F109" s="58"/>
      <c r="G109" s="58"/>
      <c r="H109" s="58"/>
      <c r="I109" s="58"/>
      <c r="J109" s="58"/>
      <c r="K109" s="58">
        <f>[1]ยอดรวมรายหน่วย!Q104</f>
        <v>590000</v>
      </c>
      <c r="L109" s="58">
        <f>E109-K109-M109</f>
        <v>0</v>
      </c>
      <c r="M109" s="58">
        <v>10000</v>
      </c>
      <c r="N109" s="58">
        <f>K109*100/E109</f>
        <v>98.333333333333329</v>
      </c>
      <c r="O109" s="58"/>
      <c r="P109" s="58"/>
      <c r="Q109" s="58"/>
      <c r="R109" s="58"/>
      <c r="S109" s="58"/>
      <c r="T109" s="58"/>
      <c r="U109" s="58"/>
      <c r="V109" s="59"/>
    </row>
    <row r="110" spans="1:25" x14ac:dyDescent="0.2">
      <c r="A110" s="34"/>
      <c r="B110" s="26"/>
      <c r="C110" s="20" t="s">
        <v>162</v>
      </c>
      <c r="D110" s="55"/>
      <c r="E110" s="60">
        <v>720000</v>
      </c>
      <c r="F110" s="23"/>
      <c r="G110" s="23"/>
      <c r="H110" s="23"/>
      <c r="I110" s="23"/>
      <c r="J110" s="23"/>
      <c r="K110" s="23">
        <f>[1]ยอดรวมรายหน่วย!Q105</f>
        <v>720000</v>
      </c>
      <c r="L110" s="58">
        <f t="shared" ref="L110:L111" si="16">E110-K110-M110</f>
        <v>0</v>
      </c>
      <c r="M110" s="23"/>
      <c r="N110" s="58">
        <f t="shared" ref="N110:N111" si="17">K110*100/E110</f>
        <v>100</v>
      </c>
      <c r="O110" s="23"/>
      <c r="P110" s="23"/>
      <c r="Q110" s="23"/>
      <c r="R110" s="23"/>
      <c r="S110" s="23"/>
      <c r="T110" s="23"/>
      <c r="U110" s="23"/>
      <c r="V110" s="24"/>
    </row>
    <row r="111" spans="1:25" x14ac:dyDescent="0.2">
      <c r="A111" s="61"/>
      <c r="B111" s="26"/>
      <c r="C111" s="62" t="s">
        <v>163</v>
      </c>
      <c r="D111" s="63"/>
      <c r="E111" s="64">
        <v>20000</v>
      </c>
      <c r="F111" s="65"/>
      <c r="G111" s="65"/>
      <c r="H111" s="65"/>
      <c r="I111" s="65"/>
      <c r="J111" s="65"/>
      <c r="K111" s="65">
        <f>[1]ยอดรวมรายหน่วย!Q106</f>
        <v>20000</v>
      </c>
      <c r="L111" s="58">
        <f t="shared" si="16"/>
        <v>0</v>
      </c>
      <c r="M111" s="65"/>
      <c r="N111" s="58">
        <f t="shared" si="17"/>
        <v>100</v>
      </c>
      <c r="O111" s="65"/>
      <c r="P111" s="65"/>
      <c r="Q111" s="65"/>
      <c r="R111" s="65"/>
      <c r="S111" s="65"/>
      <c r="T111" s="65"/>
      <c r="U111" s="65"/>
      <c r="V111" s="66"/>
    </row>
    <row r="112" spans="1:25" x14ac:dyDescent="0.2">
      <c r="A112" s="61"/>
      <c r="B112" s="68"/>
      <c r="C112" s="132" t="s">
        <v>28</v>
      </c>
      <c r="D112" s="63"/>
      <c r="E112" s="134">
        <f>SUM(E107:E111)</f>
        <v>2505000</v>
      </c>
      <c r="F112" s="71"/>
      <c r="G112" s="71"/>
      <c r="H112" s="71"/>
      <c r="I112" s="71"/>
      <c r="J112" s="71"/>
      <c r="K112" s="71">
        <f>SUM(K107:K111)</f>
        <v>1895000</v>
      </c>
      <c r="L112" s="71">
        <f>E112-K112-M112</f>
        <v>600000</v>
      </c>
      <c r="M112" s="71">
        <f>SUM(M107:M111)</f>
        <v>10000</v>
      </c>
      <c r="N112" s="72">
        <f>K112*100/E112</f>
        <v>75.648702594810374</v>
      </c>
      <c r="O112" s="72"/>
      <c r="P112" s="72"/>
      <c r="Q112" s="72"/>
      <c r="R112" s="72"/>
      <c r="S112" s="72"/>
      <c r="T112" s="72"/>
      <c r="U112" s="72"/>
      <c r="V112" s="68"/>
    </row>
    <row r="113" spans="1:28" ht="105" x14ac:dyDescent="0.2">
      <c r="A113" s="67">
        <v>26</v>
      </c>
      <c r="B113" s="68"/>
      <c r="C113" s="69" t="s">
        <v>164</v>
      </c>
      <c r="D113" s="51" t="s">
        <v>159</v>
      </c>
      <c r="E113" s="70">
        <v>450000</v>
      </c>
      <c r="F113" s="71"/>
      <c r="G113" s="71"/>
      <c r="H113" s="71"/>
      <c r="I113" s="71"/>
      <c r="J113" s="71"/>
      <c r="K113" s="72">
        <f>[1]ยอดรวมรายหน่วย!Q107</f>
        <v>0</v>
      </c>
      <c r="L113" s="72">
        <f>E113-K113-M113</f>
        <v>450000</v>
      </c>
      <c r="M113" s="71"/>
      <c r="N113" s="72">
        <f>K113*100/E113</f>
        <v>0</v>
      </c>
      <c r="O113" s="72"/>
      <c r="P113" s="72"/>
      <c r="Q113" s="72"/>
      <c r="R113" s="72"/>
      <c r="S113" s="72"/>
      <c r="T113" s="72"/>
      <c r="U113" s="72"/>
      <c r="V113" s="68" t="s">
        <v>81</v>
      </c>
    </row>
    <row r="114" spans="1:28" x14ac:dyDescent="0.2">
      <c r="A114" s="61"/>
      <c r="B114" s="68"/>
      <c r="C114" s="132" t="s">
        <v>28</v>
      </c>
      <c r="D114" s="44"/>
      <c r="E114" s="134">
        <f>SUM(E113)</f>
        <v>450000</v>
      </c>
      <c r="F114" s="71"/>
      <c r="G114" s="71"/>
      <c r="H114" s="71"/>
      <c r="I114" s="71"/>
      <c r="J114" s="71"/>
      <c r="K114" s="71">
        <f>SUM(K113)</f>
        <v>0</v>
      </c>
      <c r="L114" s="71">
        <f>E114-K114-M114</f>
        <v>450000</v>
      </c>
      <c r="M114" s="71"/>
      <c r="N114" s="72">
        <f>K114*100/E114</f>
        <v>0</v>
      </c>
      <c r="O114" s="72"/>
      <c r="P114" s="72"/>
      <c r="Q114" s="72"/>
      <c r="R114" s="72"/>
      <c r="S114" s="72"/>
      <c r="T114" s="72"/>
      <c r="U114" s="72"/>
      <c r="V114" s="68"/>
    </row>
    <row r="115" spans="1:28" x14ac:dyDescent="0.2">
      <c r="A115" s="264" t="s">
        <v>165</v>
      </c>
      <c r="B115" s="264"/>
      <c r="C115" s="264"/>
      <c r="D115" s="264"/>
      <c r="E115" s="187">
        <f>E119+E122+E126</f>
        <v>73049300</v>
      </c>
      <c r="F115" s="126"/>
      <c r="G115" s="126"/>
      <c r="H115" s="126"/>
      <c r="I115" s="126"/>
      <c r="J115" s="126"/>
      <c r="K115" s="126">
        <f>K119+K122+K126</f>
        <v>48996617</v>
      </c>
      <c r="L115" s="188">
        <f>E115-K115-M115</f>
        <v>24052683</v>
      </c>
      <c r="M115" s="126">
        <f>M119+M122+M126</f>
        <v>0</v>
      </c>
      <c r="N115" s="126">
        <f>K115*100/E115</f>
        <v>67.073355939071291</v>
      </c>
      <c r="O115" s="126"/>
      <c r="P115" s="126"/>
      <c r="Q115" s="126"/>
      <c r="R115" s="126"/>
      <c r="S115" s="126"/>
      <c r="T115" s="126"/>
      <c r="U115" s="126"/>
      <c r="V115" s="127"/>
    </row>
    <row r="116" spans="1:28" ht="42" x14ac:dyDescent="0.2">
      <c r="A116" s="113" t="s">
        <v>166</v>
      </c>
      <c r="B116" s="32"/>
      <c r="C116" s="12" t="s">
        <v>167</v>
      </c>
      <c r="D116" s="28"/>
      <c r="E116" s="52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32"/>
    </row>
    <row r="117" spans="1:28" ht="168" x14ac:dyDescent="0.2">
      <c r="A117" s="80">
        <v>11.1</v>
      </c>
      <c r="B117" s="24"/>
      <c r="C117" s="24" t="s">
        <v>168</v>
      </c>
      <c r="D117" s="35" t="s">
        <v>169</v>
      </c>
      <c r="E117" s="60">
        <v>57000000</v>
      </c>
      <c r="F117" s="23"/>
      <c r="G117" s="23"/>
      <c r="H117" s="23"/>
      <c r="I117" s="23"/>
      <c r="J117" s="23"/>
      <c r="K117" s="23">
        <f>'[1]สนง.สาธารสุข- รพ.ลำปาง'!I5</f>
        <v>45815000</v>
      </c>
      <c r="L117" s="23">
        <f>E117-K117-M117-O117</f>
        <v>0</v>
      </c>
      <c r="M117" s="23">
        <f>11185000-O117</f>
        <v>0</v>
      </c>
      <c r="N117" s="23">
        <f>K117*100/E117</f>
        <v>80.377192982456137</v>
      </c>
      <c r="O117" s="23">
        <f>P117+R117+S117+T117+U117</f>
        <v>11185000</v>
      </c>
      <c r="P117" s="23">
        <f>3950000+1165000+600000+470000</f>
        <v>6185000</v>
      </c>
      <c r="Q117" s="23"/>
      <c r="R117" s="23">
        <f>3250600+231700</f>
        <v>3482300</v>
      </c>
      <c r="S117" s="23">
        <v>449207.66</v>
      </c>
      <c r="T117" s="23"/>
      <c r="U117" s="23">
        <f>778136+290356.34</f>
        <v>1068492.3400000001</v>
      </c>
      <c r="V117" s="23"/>
      <c r="W117" s="100">
        <v>241058</v>
      </c>
      <c r="X117" s="100">
        <v>241149</v>
      </c>
      <c r="Y117" s="7" t="s">
        <v>170</v>
      </c>
      <c r="Z117" s="6">
        <v>59106071338</v>
      </c>
      <c r="AA117" s="153">
        <v>591201011404</v>
      </c>
      <c r="AB117" s="189" t="s">
        <v>171</v>
      </c>
    </row>
    <row r="118" spans="1:28" ht="315" x14ac:dyDescent="0.2">
      <c r="A118" s="80">
        <v>11.2</v>
      </c>
      <c r="B118" s="24"/>
      <c r="C118" s="24" t="s">
        <v>172</v>
      </c>
      <c r="D118" s="35" t="s">
        <v>173</v>
      </c>
      <c r="E118" s="60">
        <v>2334300</v>
      </c>
      <c r="F118" s="23"/>
      <c r="G118" s="23"/>
      <c r="H118" s="23"/>
      <c r="I118" s="23"/>
      <c r="J118" s="23"/>
      <c r="K118" s="23">
        <f>[1]ยอดรวมรายหน่วย!Q111</f>
        <v>1620800</v>
      </c>
      <c r="L118" s="23">
        <f>E118-K118-M118</f>
        <v>713500</v>
      </c>
      <c r="M118" s="23"/>
      <c r="N118" s="23">
        <f>K118*100/E118</f>
        <v>69.434091590626736</v>
      </c>
      <c r="O118" s="23"/>
      <c r="P118" s="23"/>
      <c r="Q118" s="23"/>
      <c r="R118" s="23"/>
      <c r="S118" s="23"/>
      <c r="T118" s="23"/>
      <c r="U118" s="23"/>
      <c r="V118" s="24"/>
      <c r="W118" s="151"/>
    </row>
    <row r="119" spans="1:28" s="16" customFormat="1" x14ac:dyDescent="0.2">
      <c r="A119" s="190"/>
      <c r="B119" s="137"/>
      <c r="C119" s="138" t="s">
        <v>119</v>
      </c>
      <c r="D119" s="139"/>
      <c r="E119" s="140">
        <f>SUM(E117:E118)</f>
        <v>59334300</v>
      </c>
      <c r="F119" s="141"/>
      <c r="G119" s="141"/>
      <c r="H119" s="141"/>
      <c r="I119" s="141"/>
      <c r="J119" s="141"/>
      <c r="K119" s="141">
        <f>SUM(K117:K118)</f>
        <v>47435800</v>
      </c>
      <c r="L119" s="141">
        <f>E119-K119-M119</f>
        <v>11898500</v>
      </c>
      <c r="M119" s="141">
        <f>SUM(M117:M118)</f>
        <v>0</v>
      </c>
      <c r="N119" s="141"/>
      <c r="O119" s="141"/>
      <c r="P119" s="141"/>
      <c r="Q119" s="141"/>
      <c r="R119" s="141"/>
      <c r="S119" s="141"/>
      <c r="T119" s="141"/>
      <c r="U119" s="141"/>
      <c r="V119" s="137"/>
      <c r="Y119" s="17"/>
    </row>
    <row r="120" spans="1:28" x14ac:dyDescent="0.2">
      <c r="A120" s="113">
        <v>12</v>
      </c>
      <c r="B120" s="32"/>
      <c r="C120" s="13" t="s">
        <v>174</v>
      </c>
      <c r="D120" s="28"/>
      <c r="E120" s="14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32"/>
    </row>
    <row r="121" spans="1:28" ht="86.25" customHeight="1" x14ac:dyDescent="0.2">
      <c r="A121" s="80">
        <v>12.1</v>
      </c>
      <c r="B121" s="24"/>
      <c r="C121" s="24" t="s">
        <v>175</v>
      </c>
      <c r="D121" s="35" t="s">
        <v>176</v>
      </c>
      <c r="E121" s="60">
        <v>7715000</v>
      </c>
      <c r="F121" s="23"/>
      <c r="G121" s="23"/>
      <c r="H121" s="23"/>
      <c r="I121" s="23"/>
      <c r="J121" s="23"/>
      <c r="K121" s="23">
        <f>[1]ท่องเที่ยวและกีฬา!G16</f>
        <v>0</v>
      </c>
      <c r="L121" s="23">
        <f>E121-K121-M121-O121</f>
        <v>6749000</v>
      </c>
      <c r="M121" s="23">
        <f>[1]ยอดรวมรายหน่วย!R122-O121</f>
        <v>0</v>
      </c>
      <c r="N121" s="23">
        <f>K121*100/E121</f>
        <v>0</v>
      </c>
      <c r="O121" s="23">
        <f>U121</f>
        <v>966000</v>
      </c>
      <c r="P121" s="23"/>
      <c r="Q121" s="23"/>
      <c r="R121" s="23"/>
      <c r="S121" s="23"/>
      <c r="T121" s="23"/>
      <c r="U121" s="23">
        <v>966000</v>
      </c>
      <c r="V121" s="24"/>
    </row>
    <row r="122" spans="1:28" s="16" customFormat="1" x14ac:dyDescent="0.2">
      <c r="A122" s="158"/>
      <c r="B122" s="137"/>
      <c r="C122" s="138" t="s">
        <v>28</v>
      </c>
      <c r="D122" s="139"/>
      <c r="E122" s="140">
        <f>SUM(E121)</f>
        <v>7715000</v>
      </c>
      <c r="F122" s="141"/>
      <c r="G122" s="141"/>
      <c r="H122" s="141"/>
      <c r="I122" s="141"/>
      <c r="J122" s="141"/>
      <c r="K122" s="141">
        <f>SUM(K121)</f>
        <v>0</v>
      </c>
      <c r="L122" s="141">
        <f>E122-K122-M122</f>
        <v>7715000</v>
      </c>
      <c r="M122" s="141">
        <f>SUM(M121)</f>
        <v>0</v>
      </c>
      <c r="N122" s="141">
        <f>K122*100/E122</f>
        <v>0</v>
      </c>
      <c r="O122" s="141"/>
      <c r="P122" s="141"/>
      <c r="Q122" s="141"/>
      <c r="R122" s="141"/>
      <c r="S122" s="141"/>
      <c r="T122" s="141"/>
      <c r="U122" s="141"/>
      <c r="V122" s="137"/>
      <c r="Y122" s="17"/>
    </row>
    <row r="123" spans="1:28" ht="42" x14ac:dyDescent="0.2">
      <c r="A123" s="113">
        <v>13</v>
      </c>
      <c r="B123" s="32"/>
      <c r="C123" s="13" t="s">
        <v>177</v>
      </c>
      <c r="D123" s="28"/>
      <c r="E123" s="14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32"/>
    </row>
    <row r="124" spans="1:28" ht="105" x14ac:dyDescent="0.2">
      <c r="A124" s="80">
        <v>13.1</v>
      </c>
      <c r="B124" s="24"/>
      <c r="C124" s="24" t="s">
        <v>178</v>
      </c>
      <c r="D124" s="112" t="s">
        <v>33</v>
      </c>
      <c r="E124" s="191">
        <v>4000000</v>
      </c>
      <c r="F124" s="92"/>
      <c r="G124" s="92"/>
      <c r="H124" s="92"/>
      <c r="I124" s="92"/>
      <c r="J124" s="92"/>
      <c r="K124" s="23">
        <f>[1]อ.เมืองปาน!H12</f>
        <v>530250</v>
      </c>
      <c r="L124" s="23">
        <f>E124-K124-M124-O124</f>
        <v>3004750</v>
      </c>
      <c r="M124" s="23">
        <f>[1]ยอดรวมรายหน่วย!R17-O124</f>
        <v>0</v>
      </c>
      <c r="N124" s="23">
        <f>K124*100/E124</f>
        <v>13.25625</v>
      </c>
      <c r="O124" s="23">
        <f>U124</f>
        <v>465000</v>
      </c>
      <c r="P124" s="23"/>
      <c r="Q124" s="23"/>
      <c r="R124" s="23"/>
      <c r="S124" s="23"/>
      <c r="T124" s="23"/>
      <c r="U124" s="23">
        <v>465000</v>
      </c>
      <c r="V124" s="24"/>
    </row>
    <row r="125" spans="1:28" ht="126" x14ac:dyDescent="0.2">
      <c r="A125" s="80">
        <v>13.2</v>
      </c>
      <c r="B125" s="24"/>
      <c r="C125" s="24" t="s">
        <v>179</v>
      </c>
      <c r="D125" s="112" t="s">
        <v>107</v>
      </c>
      <c r="E125" s="192">
        <v>2000000</v>
      </c>
      <c r="F125" s="92"/>
      <c r="G125" s="92"/>
      <c r="H125" s="92"/>
      <c r="I125" s="92"/>
      <c r="J125" s="92"/>
      <c r="K125" s="23">
        <f>[1]ยอดรวมรายหน่วย!Q119</f>
        <v>1030567</v>
      </c>
      <c r="L125" s="23">
        <f>E125-K125-M125</f>
        <v>969433</v>
      </c>
      <c r="M125" s="23"/>
      <c r="N125" s="23">
        <f>K125*100/E125</f>
        <v>51.528350000000003</v>
      </c>
      <c r="O125" s="23"/>
      <c r="P125" s="23"/>
      <c r="Q125" s="23"/>
      <c r="R125" s="23"/>
      <c r="S125" s="23"/>
      <c r="T125" s="23"/>
      <c r="U125" s="23"/>
      <c r="V125" s="24" t="s">
        <v>77</v>
      </c>
    </row>
    <row r="126" spans="1:28" s="16" customFormat="1" x14ac:dyDescent="0.2">
      <c r="A126" s="158"/>
      <c r="B126" s="137"/>
      <c r="C126" s="138" t="s">
        <v>119</v>
      </c>
      <c r="D126" s="155"/>
      <c r="E126" s="193">
        <f>SUM(E124:E125)</f>
        <v>6000000</v>
      </c>
      <c r="F126" s="194"/>
      <c r="G126" s="194"/>
      <c r="H126" s="194"/>
      <c r="I126" s="194"/>
      <c r="J126" s="194"/>
      <c r="K126" s="141">
        <f>SUM(K124:K125)</f>
        <v>1560817</v>
      </c>
      <c r="L126" s="141">
        <f>E126-K126-M126</f>
        <v>4439183</v>
      </c>
      <c r="M126" s="141">
        <f>SUM(M124:M125)</f>
        <v>0</v>
      </c>
      <c r="N126" s="141">
        <f>K126*100/E126</f>
        <v>26.013616666666667</v>
      </c>
      <c r="O126" s="141"/>
      <c r="P126" s="141"/>
      <c r="Q126" s="141"/>
      <c r="R126" s="141"/>
      <c r="S126" s="141"/>
      <c r="T126" s="141"/>
      <c r="U126" s="141"/>
      <c r="V126" s="137"/>
      <c r="Y126" s="17"/>
    </row>
    <row r="127" spans="1:28" x14ac:dyDescent="0.35">
      <c r="A127" s="265" t="s">
        <v>180</v>
      </c>
      <c r="B127" s="266"/>
      <c r="C127" s="266"/>
      <c r="D127" s="267"/>
      <c r="E127" s="195">
        <f>E130+E163+E135</f>
        <v>35804900</v>
      </c>
      <c r="F127" s="196"/>
      <c r="G127" s="196"/>
      <c r="H127" s="196"/>
      <c r="I127" s="196"/>
      <c r="J127" s="196"/>
      <c r="K127" s="196">
        <f>K130+K163</f>
        <v>28505644.669999998</v>
      </c>
      <c r="L127" s="196">
        <f>E127-K127-M127</f>
        <v>7175697.5700000022</v>
      </c>
      <c r="M127" s="196">
        <f>M130+M163</f>
        <v>123557.76000000001</v>
      </c>
      <c r="N127" s="196">
        <f>K127*100/E127</f>
        <v>79.613808920008154</v>
      </c>
      <c r="O127" s="196"/>
      <c r="P127" s="196"/>
      <c r="Q127" s="196"/>
      <c r="R127" s="196"/>
      <c r="S127" s="196"/>
      <c r="T127" s="196"/>
      <c r="U127" s="196"/>
      <c r="V127" s="127"/>
    </row>
    <row r="128" spans="1:28" ht="26.25" customHeight="1" x14ac:dyDescent="0.2">
      <c r="A128" s="113" t="s">
        <v>181</v>
      </c>
      <c r="B128" s="32"/>
      <c r="C128" s="12" t="s">
        <v>182</v>
      </c>
      <c r="D128" s="30"/>
      <c r="E128" s="197"/>
      <c r="F128" s="198"/>
      <c r="G128" s="198"/>
      <c r="H128" s="198"/>
      <c r="I128" s="198"/>
      <c r="J128" s="199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32"/>
    </row>
    <row r="129" spans="1:25" ht="178.5" customHeight="1" x14ac:dyDescent="0.2">
      <c r="A129" s="80">
        <v>14.1</v>
      </c>
      <c r="B129" s="24"/>
      <c r="C129" s="24" t="s">
        <v>183</v>
      </c>
      <c r="D129" s="35" t="s">
        <v>184</v>
      </c>
      <c r="E129" s="60">
        <v>5035500</v>
      </c>
      <c r="F129" s="23"/>
      <c r="G129" s="23"/>
      <c r="H129" s="23"/>
      <c r="I129" s="23"/>
      <c r="J129" s="129"/>
      <c r="K129" s="23">
        <f>[1]ยอดรวมรายหน่วย!Q112</f>
        <v>3352096.0900000003</v>
      </c>
      <c r="L129" s="23">
        <f>E129-K129-M129-O129</f>
        <v>530103.90999999968</v>
      </c>
      <c r="M129" s="23">
        <f>1153300-O129</f>
        <v>123557.76000000001</v>
      </c>
      <c r="N129" s="23">
        <f>K129*100/E129</f>
        <v>66.569279912620402</v>
      </c>
      <c r="O129" s="23">
        <f>U129</f>
        <v>1029742.24</v>
      </c>
      <c r="P129" s="23"/>
      <c r="Q129" s="23"/>
      <c r="R129" s="23"/>
      <c r="S129" s="23"/>
      <c r="T129" s="23"/>
      <c r="U129" s="200">
        <f>29742.24+1000000</f>
        <v>1029742.24</v>
      </c>
      <c r="V129" s="24"/>
    </row>
    <row r="130" spans="1:25" s="16" customFormat="1" x14ac:dyDescent="0.2">
      <c r="A130" s="158"/>
      <c r="B130" s="84"/>
      <c r="C130" s="138" t="s">
        <v>28</v>
      </c>
      <c r="D130" s="139"/>
      <c r="E130" s="140">
        <f>SUM(E129)</f>
        <v>5035500</v>
      </c>
      <c r="F130" s="141"/>
      <c r="G130" s="141"/>
      <c r="H130" s="141"/>
      <c r="I130" s="141"/>
      <c r="J130" s="201"/>
      <c r="K130" s="141">
        <f>SUM(K129)</f>
        <v>3352096.0900000003</v>
      </c>
      <c r="L130" s="141">
        <f>E130-K130-M130</f>
        <v>1559846.1499999997</v>
      </c>
      <c r="M130" s="141">
        <f>SUM(M129)</f>
        <v>123557.76000000001</v>
      </c>
      <c r="N130" s="141">
        <f>K130*100/E130</f>
        <v>66.569279912620402</v>
      </c>
      <c r="O130" s="141"/>
      <c r="P130" s="141"/>
      <c r="Q130" s="141"/>
      <c r="R130" s="141"/>
      <c r="S130" s="141"/>
      <c r="T130" s="141"/>
      <c r="U130" s="141"/>
      <c r="V130" s="137"/>
      <c r="Y130" s="17"/>
    </row>
    <row r="131" spans="1:25" s="16" customFormat="1" x14ac:dyDescent="0.2">
      <c r="A131" s="73">
        <v>18</v>
      </c>
      <c r="B131" s="74"/>
      <c r="C131" s="75" t="s">
        <v>185</v>
      </c>
      <c r="D131" s="76"/>
      <c r="E131" s="77"/>
      <c r="F131" s="78"/>
      <c r="G131" s="78"/>
      <c r="H131" s="78"/>
      <c r="I131" s="78"/>
      <c r="J131" s="79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12"/>
      <c r="Y131" s="17"/>
    </row>
    <row r="132" spans="1:25" s="16" customFormat="1" ht="84" x14ac:dyDescent="0.2">
      <c r="A132" s="80">
        <v>18.100000000000001</v>
      </c>
      <c r="B132" s="74"/>
      <c r="C132" s="81" t="s">
        <v>186</v>
      </c>
      <c r="D132" s="35" t="s">
        <v>187</v>
      </c>
      <c r="E132" s="202">
        <v>815400</v>
      </c>
      <c r="F132" s="78"/>
      <c r="G132" s="78"/>
      <c r="H132" s="78"/>
      <c r="I132" s="78"/>
      <c r="J132" s="79"/>
      <c r="K132" s="58">
        <f>[1]ยอดรวมรายหน่วย!Q15</f>
        <v>584800</v>
      </c>
      <c r="L132" s="58">
        <f>E132-K132-M132</f>
        <v>230600</v>
      </c>
      <c r="M132" s="78"/>
      <c r="N132" s="58">
        <f>K132*100/E132</f>
        <v>71.719401520726024</v>
      </c>
      <c r="O132" s="78"/>
      <c r="P132" s="78"/>
      <c r="Q132" s="78"/>
      <c r="R132" s="78"/>
      <c r="S132" s="78"/>
      <c r="T132" s="78"/>
      <c r="U132" s="78"/>
      <c r="V132" s="24" t="s">
        <v>77</v>
      </c>
      <c r="Y132" s="17"/>
    </row>
    <row r="133" spans="1:25" s="16" customFormat="1" ht="84" x14ac:dyDescent="0.2">
      <c r="A133" s="80">
        <v>18.2</v>
      </c>
      <c r="B133" s="19"/>
      <c r="C133" s="81" t="s">
        <v>188</v>
      </c>
      <c r="D133" s="21" t="s">
        <v>189</v>
      </c>
      <c r="E133" s="82">
        <v>500000</v>
      </c>
      <c r="F133" s="22"/>
      <c r="G133" s="22"/>
      <c r="H133" s="22"/>
      <c r="I133" s="22"/>
      <c r="J133" s="83"/>
      <c r="K133" s="23">
        <f>[1]ยอดรวมรายหน่วย!Q123</f>
        <v>300000</v>
      </c>
      <c r="L133" s="23">
        <f>E133-K133-M133</f>
        <v>200000</v>
      </c>
      <c r="M133" s="22"/>
      <c r="N133" s="58">
        <f>K133*100/E133</f>
        <v>60</v>
      </c>
      <c r="O133" s="22"/>
      <c r="P133" s="22"/>
      <c r="Q133" s="22"/>
      <c r="R133" s="22"/>
      <c r="S133" s="22"/>
      <c r="T133" s="22"/>
      <c r="U133" s="22"/>
      <c r="V133" s="24" t="s">
        <v>99</v>
      </c>
      <c r="Y133" s="17"/>
    </row>
    <row r="134" spans="1:25" s="16" customFormat="1" ht="42" x14ac:dyDescent="0.2">
      <c r="A134" s="8">
        <v>18.3</v>
      </c>
      <c r="B134" s="84"/>
      <c r="C134" s="203" t="s">
        <v>190</v>
      </c>
      <c r="D134" s="21" t="s">
        <v>189</v>
      </c>
      <c r="E134" s="204">
        <v>1000000</v>
      </c>
      <c r="F134" s="85"/>
      <c r="G134" s="85"/>
      <c r="H134" s="85"/>
      <c r="I134" s="85"/>
      <c r="J134" s="86"/>
      <c r="K134" s="5">
        <f>[1]ยอดรวมรายหน่วย!Q124</f>
        <v>0</v>
      </c>
      <c r="L134" s="23">
        <f>E134-K134-M134</f>
        <v>1000000</v>
      </c>
      <c r="M134" s="85"/>
      <c r="N134" s="58">
        <f>K134*100/E134</f>
        <v>0</v>
      </c>
      <c r="O134" s="85"/>
      <c r="P134" s="85"/>
      <c r="Q134" s="85"/>
      <c r="R134" s="85"/>
      <c r="S134" s="85"/>
      <c r="T134" s="85"/>
      <c r="U134" s="85"/>
      <c r="V134" s="2" t="s">
        <v>99</v>
      </c>
      <c r="Y134" s="17"/>
    </row>
    <row r="135" spans="1:25" s="16" customFormat="1" x14ac:dyDescent="0.2">
      <c r="A135" s="158"/>
      <c r="B135" s="137"/>
      <c r="C135" s="138" t="s">
        <v>191</v>
      </c>
      <c r="D135" s="139"/>
      <c r="E135" s="140">
        <f>SUM(E132)</f>
        <v>815400</v>
      </c>
      <c r="F135" s="141"/>
      <c r="G135" s="141"/>
      <c r="H135" s="141"/>
      <c r="I135" s="141"/>
      <c r="J135" s="201"/>
      <c r="K135" s="141">
        <f>SUM(K132:K133)</f>
        <v>884800</v>
      </c>
      <c r="L135" s="141">
        <f>E135-K135-M135</f>
        <v>-69400</v>
      </c>
      <c r="M135" s="141">
        <f>SUM(M132:M133)</f>
        <v>0</v>
      </c>
      <c r="N135" s="141">
        <f>K135*100/E135</f>
        <v>108.51116016678931</v>
      </c>
      <c r="O135" s="141"/>
      <c r="P135" s="141"/>
      <c r="Q135" s="141"/>
      <c r="R135" s="141"/>
      <c r="S135" s="141"/>
      <c r="T135" s="141"/>
      <c r="U135" s="141"/>
      <c r="V135" s="137"/>
      <c r="Y135" s="17"/>
    </row>
    <row r="136" spans="1:25" ht="63" x14ac:dyDescent="0.2">
      <c r="A136" s="11">
        <v>15</v>
      </c>
      <c r="B136" s="32"/>
      <c r="C136" s="12" t="s">
        <v>192</v>
      </c>
      <c r="D136" s="28"/>
      <c r="E136" s="52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32"/>
    </row>
    <row r="137" spans="1:25" s="149" customFormat="1" ht="93.75" customHeight="1" x14ac:dyDescent="0.2">
      <c r="A137" s="142">
        <v>15.1</v>
      </c>
      <c r="B137" s="144"/>
      <c r="C137" s="205" t="s">
        <v>193</v>
      </c>
      <c r="D137" s="206" t="s">
        <v>91</v>
      </c>
      <c r="E137" s="207">
        <v>151000</v>
      </c>
      <c r="F137" s="208"/>
      <c r="G137" s="209">
        <v>2.1</v>
      </c>
      <c r="H137" s="209">
        <v>2.5</v>
      </c>
      <c r="I137" s="209">
        <v>1.3</v>
      </c>
      <c r="J137" s="209">
        <v>6</v>
      </c>
      <c r="K137" s="147">
        <f>[1]อ.สบปราบ!I25</f>
        <v>0</v>
      </c>
      <c r="L137" s="147">
        <f>E137-K137-M137</f>
        <v>151000</v>
      </c>
      <c r="M137" s="147">
        <f>[1]ยอดรวมรายหน่วย!R79</f>
        <v>0</v>
      </c>
      <c r="N137" s="147">
        <f>K137*100/E137</f>
        <v>0</v>
      </c>
      <c r="O137" s="147"/>
      <c r="P137" s="147"/>
      <c r="Q137" s="147"/>
      <c r="R137" s="147"/>
      <c r="S137" s="147"/>
      <c r="T137" s="147"/>
      <c r="U137" s="147"/>
      <c r="V137" s="144" t="s">
        <v>194</v>
      </c>
      <c r="Y137" s="150"/>
    </row>
    <row r="138" spans="1:25" ht="84" x14ac:dyDescent="0.2">
      <c r="A138" s="80">
        <v>15.2</v>
      </c>
      <c r="B138" s="24"/>
      <c r="C138" s="81" t="s">
        <v>195</v>
      </c>
      <c r="D138" s="112" t="s">
        <v>70</v>
      </c>
      <c r="E138" s="210">
        <v>1223000</v>
      </c>
      <c r="F138" s="211"/>
      <c r="G138" s="92"/>
      <c r="H138" s="92"/>
      <c r="I138" s="92"/>
      <c r="J138" s="92"/>
      <c r="K138" s="23">
        <f>[1]อ.ห้างฉัตร!I11</f>
        <v>0</v>
      </c>
      <c r="L138" s="23">
        <f>E138-K138-M138-O138</f>
        <v>1169000</v>
      </c>
      <c r="M138" s="23">
        <f>[1]ยอดรวมรายหน่วย!R70-O138</f>
        <v>0</v>
      </c>
      <c r="N138" s="23">
        <f t="shared" ref="N138:N156" si="18">K138*100/E138</f>
        <v>0</v>
      </c>
      <c r="O138" s="23">
        <v>54000</v>
      </c>
      <c r="P138" s="23">
        <v>54000</v>
      </c>
      <c r="Q138" s="23"/>
      <c r="R138" s="23"/>
      <c r="S138" s="23"/>
      <c r="T138" s="23"/>
      <c r="U138" s="23"/>
      <c r="V138" s="24"/>
    </row>
    <row r="139" spans="1:25" ht="84" x14ac:dyDescent="0.2">
      <c r="A139" s="80">
        <v>15.3</v>
      </c>
      <c r="B139" s="24"/>
      <c r="C139" s="81" t="s">
        <v>196</v>
      </c>
      <c r="D139" s="112" t="s">
        <v>70</v>
      </c>
      <c r="E139" s="60">
        <v>2266000</v>
      </c>
      <c r="F139" s="23"/>
      <c r="G139" s="92"/>
      <c r="H139" s="92"/>
      <c r="I139" s="92"/>
      <c r="J139" s="92"/>
      <c r="K139" s="23">
        <f>[1]อ.ห้างฉัตร!I17</f>
        <v>1650000</v>
      </c>
      <c r="L139" s="23">
        <f>E139-K139-M139-O139</f>
        <v>0</v>
      </c>
      <c r="M139" s="23"/>
      <c r="N139" s="23">
        <f t="shared" si="18"/>
        <v>72.815533980582529</v>
      </c>
      <c r="O139" s="23">
        <f>500000+116000</f>
        <v>616000</v>
      </c>
      <c r="P139" s="23">
        <v>116000</v>
      </c>
      <c r="Q139" s="23">
        <v>500000</v>
      </c>
      <c r="R139" s="23"/>
      <c r="S139" s="23"/>
      <c r="T139" s="23"/>
      <c r="U139" s="23"/>
      <c r="V139" s="24"/>
    </row>
    <row r="140" spans="1:25" ht="111" customHeight="1" x14ac:dyDescent="0.2">
      <c r="A140" s="80">
        <v>15.4</v>
      </c>
      <c r="B140" s="24"/>
      <c r="C140" s="81" t="s">
        <v>197</v>
      </c>
      <c r="D140" s="112" t="s">
        <v>60</v>
      </c>
      <c r="E140" s="191">
        <v>480000</v>
      </c>
      <c r="F140" s="91"/>
      <c r="G140" s="92"/>
      <c r="H140" s="92"/>
      <c r="I140" s="92"/>
      <c r="J140" s="92"/>
      <c r="K140" s="23">
        <f>[1]อ.เสริมงาม!I18</f>
        <v>480000</v>
      </c>
      <c r="L140" s="23">
        <f t="shared" ref="L140:L150" si="19">E140-K140-M140</f>
        <v>0</v>
      </c>
      <c r="M140" s="23">
        <f>[1]ยอดรวมรายหน่วย!R59</f>
        <v>0</v>
      </c>
      <c r="N140" s="23">
        <f t="shared" si="18"/>
        <v>100</v>
      </c>
      <c r="O140" s="23"/>
      <c r="P140" s="23"/>
      <c r="Q140" s="23"/>
      <c r="R140" s="23"/>
      <c r="S140" s="23"/>
      <c r="T140" s="23"/>
      <c r="U140" s="23"/>
      <c r="V140" s="24"/>
    </row>
    <row r="141" spans="1:25" ht="112.5" customHeight="1" x14ac:dyDescent="0.2">
      <c r="A141" s="80">
        <v>15.5</v>
      </c>
      <c r="B141" s="24"/>
      <c r="C141" s="81" t="s">
        <v>198</v>
      </c>
      <c r="D141" s="112" t="s">
        <v>60</v>
      </c>
      <c r="E141" s="191">
        <v>1330000</v>
      </c>
      <c r="F141" s="91"/>
      <c r="G141" s="92"/>
      <c r="H141" s="92"/>
      <c r="I141" s="92"/>
      <c r="J141" s="92"/>
      <c r="K141" s="23">
        <f>[1]อ.เสริมงาม!I26</f>
        <v>1311000</v>
      </c>
      <c r="L141" s="23">
        <f t="shared" ref="L141:L147" si="20">E141-K141-M141-O141</f>
        <v>0</v>
      </c>
      <c r="M141" s="23"/>
      <c r="N141" s="23">
        <f t="shared" si="18"/>
        <v>98.571428571428569</v>
      </c>
      <c r="O141" s="23">
        <v>19000</v>
      </c>
      <c r="P141" s="23">
        <v>19000</v>
      </c>
      <c r="Q141" s="23"/>
      <c r="R141" s="23"/>
      <c r="S141" s="23"/>
      <c r="T141" s="23"/>
      <c r="U141" s="23"/>
      <c r="V141" s="24"/>
    </row>
    <row r="142" spans="1:25" ht="84" x14ac:dyDescent="0.2">
      <c r="A142" s="80">
        <v>15.6</v>
      </c>
      <c r="B142" s="24"/>
      <c r="C142" s="81" t="s">
        <v>199</v>
      </c>
      <c r="D142" s="112" t="s">
        <v>58</v>
      </c>
      <c r="E142" s="191">
        <v>1846000</v>
      </c>
      <c r="F142" s="91"/>
      <c r="G142" s="92"/>
      <c r="H142" s="92"/>
      <c r="I142" s="92"/>
      <c r="J142" s="92"/>
      <c r="K142" s="23">
        <f>[1]อ.แจ้ห่ม!I25</f>
        <v>1825000</v>
      </c>
      <c r="L142" s="23">
        <f t="shared" si="20"/>
        <v>0</v>
      </c>
      <c r="M142" s="23"/>
      <c r="N142" s="23">
        <f t="shared" si="18"/>
        <v>98.862405200433372</v>
      </c>
      <c r="O142" s="23">
        <v>21000</v>
      </c>
      <c r="P142" s="23">
        <v>21000</v>
      </c>
      <c r="Q142" s="23"/>
      <c r="R142" s="23"/>
      <c r="S142" s="23"/>
      <c r="T142" s="23"/>
      <c r="U142" s="23"/>
      <c r="V142" s="24"/>
    </row>
    <row r="143" spans="1:25" ht="84" x14ac:dyDescent="0.2">
      <c r="A143" s="80">
        <v>15.7</v>
      </c>
      <c r="B143" s="24"/>
      <c r="C143" s="24" t="s">
        <v>200</v>
      </c>
      <c r="D143" s="35" t="s">
        <v>58</v>
      </c>
      <c r="E143" s="60">
        <v>1941000</v>
      </c>
      <c r="F143" s="23"/>
      <c r="G143" s="23"/>
      <c r="H143" s="23"/>
      <c r="I143" s="23"/>
      <c r="J143" s="23"/>
      <c r="K143" s="23">
        <f>[1]อ.แจ้ห่ม!I32</f>
        <v>1100000</v>
      </c>
      <c r="L143" s="23">
        <f t="shared" si="20"/>
        <v>0</v>
      </c>
      <c r="M143" s="23">
        <f>841000-O143</f>
        <v>0</v>
      </c>
      <c r="N143" s="23">
        <f t="shared" si="18"/>
        <v>56.67181865018032</v>
      </c>
      <c r="O143" s="23">
        <f>500000+341000</f>
        <v>841000</v>
      </c>
      <c r="P143" s="23">
        <v>341000</v>
      </c>
      <c r="Q143" s="23">
        <v>500000</v>
      </c>
      <c r="R143" s="23"/>
      <c r="S143" s="23"/>
      <c r="T143" s="23"/>
      <c r="U143" s="23"/>
      <c r="V143" s="24"/>
    </row>
    <row r="144" spans="1:25" ht="84" x14ac:dyDescent="0.2">
      <c r="A144" s="80">
        <v>15.8</v>
      </c>
      <c r="B144" s="88"/>
      <c r="C144" s="81" t="s">
        <v>201</v>
      </c>
      <c r="D144" s="112" t="s">
        <v>58</v>
      </c>
      <c r="E144" s="191">
        <v>727000</v>
      </c>
      <c r="F144" s="91"/>
      <c r="G144" s="92"/>
      <c r="H144" s="92"/>
      <c r="I144" s="92"/>
      <c r="J144" s="92"/>
      <c r="K144" s="23">
        <f>[1]อ.แจ้ห่ม!I39</f>
        <v>720000</v>
      </c>
      <c r="L144" s="23">
        <f t="shared" si="20"/>
        <v>0</v>
      </c>
      <c r="M144" s="23">
        <f>E144-K144-O144</f>
        <v>0</v>
      </c>
      <c r="N144" s="23">
        <f t="shared" si="18"/>
        <v>99.037138927097658</v>
      </c>
      <c r="O144" s="23">
        <v>7000</v>
      </c>
      <c r="P144" s="23">
        <v>7000</v>
      </c>
      <c r="Q144" s="23"/>
      <c r="R144" s="23"/>
      <c r="S144" s="23"/>
      <c r="T144" s="23"/>
      <c r="U144" s="23"/>
      <c r="V144" s="24"/>
    </row>
    <row r="145" spans="1:27" ht="105" x14ac:dyDescent="0.2">
      <c r="A145" s="80">
        <v>15.9</v>
      </c>
      <c r="B145" s="88"/>
      <c r="C145" s="81" t="s">
        <v>202</v>
      </c>
      <c r="D145" s="112" t="s">
        <v>53</v>
      </c>
      <c r="E145" s="191">
        <v>1599000</v>
      </c>
      <c r="F145" s="91"/>
      <c r="G145" s="92"/>
      <c r="H145" s="92"/>
      <c r="I145" s="92"/>
      <c r="J145" s="92"/>
      <c r="K145" s="23">
        <f>[1]อ.เถิน!I11</f>
        <v>1150000</v>
      </c>
      <c r="L145" s="23">
        <f t="shared" si="20"/>
        <v>0</v>
      </c>
      <c r="M145" s="23">
        <f>E145-1150000-O145</f>
        <v>0</v>
      </c>
      <c r="N145" s="23">
        <f t="shared" si="18"/>
        <v>71.91994996873045</v>
      </c>
      <c r="O145" s="23">
        <f>315300+133700</f>
        <v>449000</v>
      </c>
      <c r="P145" s="23">
        <f>315300+133700</f>
        <v>449000</v>
      </c>
      <c r="Q145" s="23"/>
      <c r="R145" s="23"/>
      <c r="S145" s="23"/>
      <c r="T145" s="23"/>
      <c r="U145" s="23"/>
      <c r="V145" s="24"/>
      <c r="W145" s="100">
        <v>241412</v>
      </c>
      <c r="X145" s="100">
        <v>241169</v>
      </c>
      <c r="Y145" s="7" t="s">
        <v>203</v>
      </c>
      <c r="Z145" s="6">
        <v>59116220446</v>
      </c>
      <c r="AA145" s="101" t="s">
        <v>204</v>
      </c>
    </row>
    <row r="146" spans="1:27" ht="84" x14ac:dyDescent="0.2">
      <c r="A146" s="87">
        <v>15.1</v>
      </c>
      <c r="B146" s="88"/>
      <c r="C146" s="81" t="s">
        <v>205</v>
      </c>
      <c r="D146" s="112" t="s">
        <v>50</v>
      </c>
      <c r="E146" s="191">
        <v>3000000</v>
      </c>
      <c r="F146" s="91"/>
      <c r="G146" s="92"/>
      <c r="H146" s="92"/>
      <c r="I146" s="92"/>
      <c r="J146" s="92"/>
      <c r="K146" s="23">
        <f>[1]อ.เมืองลำปาง!I22</f>
        <v>2985000</v>
      </c>
      <c r="L146" s="23">
        <f t="shared" si="20"/>
        <v>0</v>
      </c>
      <c r="M146" s="23">
        <f>E146-K146-O146</f>
        <v>0</v>
      </c>
      <c r="N146" s="23">
        <f t="shared" si="18"/>
        <v>99.5</v>
      </c>
      <c r="O146" s="23">
        <v>15000</v>
      </c>
      <c r="P146" s="23">
        <v>15000</v>
      </c>
      <c r="Q146" s="23"/>
      <c r="R146" s="23"/>
      <c r="S146" s="23"/>
      <c r="T146" s="23"/>
      <c r="U146" s="23"/>
      <c r="V146" s="24"/>
    </row>
    <row r="147" spans="1:27" ht="84" x14ac:dyDescent="0.2">
      <c r="A147" s="87">
        <v>15.11</v>
      </c>
      <c r="B147" s="88"/>
      <c r="C147" s="81" t="s">
        <v>206</v>
      </c>
      <c r="D147" s="112" t="s">
        <v>75</v>
      </c>
      <c r="E147" s="191">
        <v>1830000</v>
      </c>
      <c r="F147" s="91"/>
      <c r="G147" s="92"/>
      <c r="H147" s="92"/>
      <c r="I147" s="92"/>
      <c r="J147" s="92"/>
      <c r="K147" s="23">
        <f>[1]อ.วังเหนือ!I11</f>
        <v>1482300</v>
      </c>
      <c r="L147" s="23">
        <f t="shared" si="20"/>
        <v>0</v>
      </c>
      <c r="M147" s="23">
        <f>E147-K147-O147</f>
        <v>0</v>
      </c>
      <c r="N147" s="23">
        <f t="shared" si="18"/>
        <v>81</v>
      </c>
      <c r="O147" s="23">
        <f>300000+47700</f>
        <v>347700</v>
      </c>
      <c r="P147" s="23">
        <v>47700</v>
      </c>
      <c r="Q147" s="23">
        <v>300000</v>
      </c>
      <c r="R147" s="23"/>
      <c r="S147" s="23"/>
      <c r="T147" s="23"/>
      <c r="U147" s="23"/>
      <c r="V147" s="24"/>
    </row>
    <row r="148" spans="1:27" s="149" customFormat="1" ht="84" x14ac:dyDescent="0.2">
      <c r="A148" s="212">
        <v>15.12</v>
      </c>
      <c r="B148" s="143"/>
      <c r="C148" s="205" t="s">
        <v>207</v>
      </c>
      <c r="D148" s="206" t="s">
        <v>75</v>
      </c>
      <c r="E148" s="213">
        <v>1760000</v>
      </c>
      <c r="F148" s="214"/>
      <c r="G148" s="209"/>
      <c r="H148" s="209"/>
      <c r="I148" s="209"/>
      <c r="J148" s="209"/>
      <c r="K148" s="147"/>
      <c r="L148" s="147">
        <f t="shared" si="19"/>
        <v>1760000</v>
      </c>
      <c r="M148" s="147"/>
      <c r="N148" s="147">
        <f t="shared" si="18"/>
        <v>0</v>
      </c>
      <c r="O148" s="147"/>
      <c r="P148" s="147"/>
      <c r="Q148" s="147"/>
      <c r="R148" s="147"/>
      <c r="S148" s="147"/>
      <c r="T148" s="147"/>
      <c r="U148" s="147"/>
      <c r="V148" s="144" t="s">
        <v>208</v>
      </c>
      <c r="Y148" s="150"/>
    </row>
    <row r="149" spans="1:27" ht="105" x14ac:dyDescent="0.2">
      <c r="A149" s="87">
        <v>15.13</v>
      </c>
      <c r="B149" s="88"/>
      <c r="C149" s="81" t="s">
        <v>209</v>
      </c>
      <c r="D149" s="112" t="s">
        <v>45</v>
      </c>
      <c r="E149" s="191">
        <v>413000</v>
      </c>
      <c r="F149" s="91"/>
      <c r="G149" s="92"/>
      <c r="H149" s="92"/>
      <c r="I149" s="92"/>
      <c r="J149" s="92"/>
      <c r="K149" s="23">
        <f>[1]อ.แม่พริก!I18</f>
        <v>410000</v>
      </c>
      <c r="L149" s="23">
        <f>E149-K149-M149-O149</f>
        <v>0</v>
      </c>
      <c r="M149" s="23">
        <f>[1]ยอดรวมรายหน่วย!R36-O149</f>
        <v>0</v>
      </c>
      <c r="N149" s="23">
        <f t="shared" si="18"/>
        <v>99.27360774818402</v>
      </c>
      <c r="O149" s="23">
        <f>U149</f>
        <v>3000</v>
      </c>
      <c r="P149" s="23"/>
      <c r="Q149" s="23"/>
      <c r="R149" s="23"/>
      <c r="S149" s="23"/>
      <c r="T149" s="23"/>
      <c r="U149" s="23">
        <v>3000</v>
      </c>
      <c r="V149" s="24"/>
    </row>
    <row r="150" spans="1:27" s="149" customFormat="1" ht="84" x14ac:dyDescent="0.2">
      <c r="A150" s="212">
        <v>15.14</v>
      </c>
      <c r="B150" s="143"/>
      <c r="C150" s="144" t="s">
        <v>210</v>
      </c>
      <c r="D150" s="145" t="s">
        <v>75</v>
      </c>
      <c r="E150" s="146">
        <v>981400</v>
      </c>
      <c r="F150" s="147"/>
      <c r="G150" s="147"/>
      <c r="H150" s="147"/>
      <c r="I150" s="147"/>
      <c r="J150" s="147"/>
      <c r="K150" s="147"/>
      <c r="L150" s="147">
        <f t="shared" si="19"/>
        <v>981400</v>
      </c>
      <c r="M150" s="147"/>
      <c r="N150" s="147">
        <f t="shared" si="18"/>
        <v>0</v>
      </c>
      <c r="O150" s="147"/>
      <c r="P150" s="147"/>
      <c r="Q150" s="147"/>
      <c r="R150" s="147"/>
      <c r="S150" s="147"/>
      <c r="T150" s="147"/>
      <c r="U150" s="147"/>
      <c r="V150" s="144" t="s">
        <v>208</v>
      </c>
      <c r="Y150" s="150"/>
    </row>
    <row r="151" spans="1:27" ht="105" x14ac:dyDescent="0.2">
      <c r="A151" s="87">
        <v>15.15</v>
      </c>
      <c r="B151" s="88"/>
      <c r="C151" s="81" t="s">
        <v>211</v>
      </c>
      <c r="D151" s="112" t="s">
        <v>33</v>
      </c>
      <c r="E151" s="191">
        <v>1838000</v>
      </c>
      <c r="F151" s="91"/>
      <c r="G151" s="92"/>
      <c r="H151" s="92"/>
      <c r="I151" s="92"/>
      <c r="J151" s="92"/>
      <c r="K151" s="23">
        <f>[1]อ.เมืองปาน!H18</f>
        <v>1540000</v>
      </c>
      <c r="L151" s="23">
        <f t="shared" ref="L151:L156" si="21">E151-K151-M151-O151</f>
        <v>0</v>
      </c>
      <c r="M151" s="23"/>
      <c r="N151" s="23">
        <f t="shared" si="18"/>
        <v>83.786724700761695</v>
      </c>
      <c r="O151" s="23">
        <v>298000</v>
      </c>
      <c r="P151" s="23">
        <v>298000</v>
      </c>
      <c r="Q151" s="23"/>
      <c r="R151" s="23"/>
      <c r="S151" s="23"/>
      <c r="T151" s="23"/>
      <c r="U151" s="23"/>
      <c r="V151" s="24"/>
    </row>
    <row r="152" spans="1:27" ht="84" x14ac:dyDescent="0.2">
      <c r="A152" s="87">
        <v>15.16</v>
      </c>
      <c r="B152" s="88"/>
      <c r="C152" s="81" t="s">
        <v>212</v>
      </c>
      <c r="D152" s="112" t="s">
        <v>53</v>
      </c>
      <c r="E152" s="191">
        <v>500000</v>
      </c>
      <c r="F152" s="91"/>
      <c r="G152" s="92"/>
      <c r="H152" s="92"/>
      <c r="I152" s="92"/>
      <c r="J152" s="92"/>
      <c r="K152" s="23">
        <f>[1]อ.เถิน!I18</f>
        <v>481000</v>
      </c>
      <c r="L152" s="23">
        <f t="shared" si="21"/>
        <v>0</v>
      </c>
      <c r="M152" s="23">
        <f>19000-O152</f>
        <v>0</v>
      </c>
      <c r="N152" s="23">
        <f t="shared" si="18"/>
        <v>96.2</v>
      </c>
      <c r="O152" s="23">
        <v>19000</v>
      </c>
      <c r="P152" s="23">
        <v>19000</v>
      </c>
      <c r="Q152" s="23"/>
      <c r="R152" s="23"/>
      <c r="S152" s="23"/>
      <c r="T152" s="23"/>
      <c r="U152" s="23"/>
      <c r="V152" s="24"/>
    </row>
    <row r="153" spans="1:27" ht="105" x14ac:dyDescent="0.2">
      <c r="A153" s="87">
        <v>15.17</v>
      </c>
      <c r="B153" s="88"/>
      <c r="C153" s="81" t="s">
        <v>213</v>
      </c>
      <c r="D153" s="112" t="s">
        <v>45</v>
      </c>
      <c r="E153" s="191">
        <v>748000</v>
      </c>
      <c r="F153" s="215"/>
      <c r="G153" s="92"/>
      <c r="H153" s="92"/>
      <c r="I153" s="92"/>
      <c r="J153" s="92"/>
      <c r="K153" s="23">
        <f>[1]อ.แม่พริก!I27</f>
        <v>574748.57999999996</v>
      </c>
      <c r="L153" s="23">
        <f>E153-K153-M153-O153</f>
        <v>0</v>
      </c>
      <c r="M153" s="148">
        <f>173251.42-O153</f>
        <v>0</v>
      </c>
      <c r="N153" s="23">
        <f t="shared" si="18"/>
        <v>76.838045454545451</v>
      </c>
      <c r="O153" s="23">
        <f>U153</f>
        <v>173251.42</v>
      </c>
      <c r="P153" s="23"/>
      <c r="Q153" s="23"/>
      <c r="R153" s="23"/>
      <c r="S153" s="23"/>
      <c r="T153" s="23"/>
      <c r="U153" s="23">
        <v>173251.42</v>
      </c>
      <c r="V153" s="24"/>
    </row>
    <row r="154" spans="1:27" ht="105" x14ac:dyDescent="0.2">
      <c r="A154" s="87">
        <v>15.18</v>
      </c>
      <c r="B154" s="88"/>
      <c r="C154" s="24" t="s">
        <v>214</v>
      </c>
      <c r="D154" s="35" t="s">
        <v>33</v>
      </c>
      <c r="E154" s="60">
        <v>5858000</v>
      </c>
      <c r="F154" s="23"/>
      <c r="G154" s="23"/>
      <c r="H154" s="23"/>
      <c r="I154" s="23"/>
      <c r="J154" s="23"/>
      <c r="K154" s="23">
        <f>[1]อ.เมืองปาน!H25</f>
        <v>4528000</v>
      </c>
      <c r="L154" s="23">
        <f t="shared" si="21"/>
        <v>0</v>
      </c>
      <c r="M154" s="23">
        <f>1330000-O154</f>
        <v>0</v>
      </c>
      <c r="N154" s="23">
        <f t="shared" si="18"/>
        <v>77.296005462615227</v>
      </c>
      <c r="O154" s="23">
        <f>P154+T154+U154</f>
        <v>1330000</v>
      </c>
      <c r="P154" s="23">
        <v>286600</v>
      </c>
      <c r="Q154" s="23"/>
      <c r="R154" s="23"/>
      <c r="S154" s="23"/>
      <c r="T154" s="23">
        <v>450000</v>
      </c>
      <c r="U154" s="23">
        <f>495392.24+98007.76</f>
        <v>593400</v>
      </c>
      <c r="V154" s="24"/>
    </row>
    <row r="155" spans="1:27" ht="105" x14ac:dyDescent="0.2">
      <c r="A155" s="87">
        <v>15.19</v>
      </c>
      <c r="B155" s="88"/>
      <c r="C155" s="81" t="s">
        <v>215</v>
      </c>
      <c r="D155" s="112" t="s">
        <v>33</v>
      </c>
      <c r="E155" s="191">
        <v>1649000</v>
      </c>
      <c r="F155" s="91"/>
      <c r="G155" s="92"/>
      <c r="H155" s="92"/>
      <c r="I155" s="92"/>
      <c r="J155" s="92"/>
      <c r="K155" s="23">
        <f>[1]อ.เมืองปาน!H34</f>
        <v>1646000</v>
      </c>
      <c r="L155" s="23">
        <f t="shared" si="21"/>
        <v>0</v>
      </c>
      <c r="M155" s="23">
        <f>3000-O155</f>
        <v>0</v>
      </c>
      <c r="N155" s="23">
        <f t="shared" si="18"/>
        <v>99.818071558520316</v>
      </c>
      <c r="O155" s="23">
        <f>SUM(P155:U155)</f>
        <v>3000</v>
      </c>
      <c r="P155" s="23"/>
      <c r="Q155" s="23"/>
      <c r="R155" s="23"/>
      <c r="S155" s="23"/>
      <c r="T155" s="23"/>
      <c r="U155" s="23">
        <v>3000</v>
      </c>
      <c r="V155" s="24"/>
    </row>
    <row r="156" spans="1:27" ht="105" x14ac:dyDescent="0.2">
      <c r="A156" s="87">
        <v>15.2</v>
      </c>
      <c r="B156" s="88"/>
      <c r="C156" s="81" t="s">
        <v>216</v>
      </c>
      <c r="D156" s="112" t="s">
        <v>33</v>
      </c>
      <c r="E156" s="191">
        <v>1838000</v>
      </c>
      <c r="F156" s="91"/>
      <c r="G156" s="92"/>
      <c r="H156" s="92"/>
      <c r="I156" s="92"/>
      <c r="J156" s="92"/>
      <c r="K156" s="23">
        <f>[1]อ.เมืองปาน!H41</f>
        <v>1835000</v>
      </c>
      <c r="L156" s="23">
        <f t="shared" si="21"/>
        <v>0</v>
      </c>
      <c r="M156" s="23">
        <f>3000-O156</f>
        <v>0</v>
      </c>
      <c r="N156" s="23">
        <f t="shared" si="18"/>
        <v>99.836779107725789</v>
      </c>
      <c r="O156" s="23">
        <f t="shared" ref="O156:O161" si="22">SUM(P156:U156)</f>
        <v>3000</v>
      </c>
      <c r="P156" s="23"/>
      <c r="Q156" s="23"/>
      <c r="R156" s="23"/>
      <c r="S156" s="23"/>
      <c r="T156" s="23"/>
      <c r="U156" s="23">
        <v>3000</v>
      </c>
      <c r="V156" s="24"/>
    </row>
    <row r="157" spans="1:27" ht="84" x14ac:dyDescent="0.2">
      <c r="A157" s="87">
        <v>15.21</v>
      </c>
      <c r="B157" s="88"/>
      <c r="C157" s="81" t="s">
        <v>217</v>
      </c>
      <c r="D157" s="89" t="s">
        <v>75</v>
      </c>
      <c r="E157" s="90">
        <v>230000</v>
      </c>
      <c r="F157" s="91"/>
      <c r="G157" s="92"/>
      <c r="H157" s="92"/>
      <c r="I157" s="92"/>
      <c r="J157" s="92"/>
      <c r="K157" s="23">
        <f>[1]อ.วังเหนือ!I41</f>
        <v>197000</v>
      </c>
      <c r="L157" s="23">
        <f t="shared" ref="L157:L162" si="23">E157-K157-M157-O157</f>
        <v>0</v>
      </c>
      <c r="M157" s="23">
        <f>33000-O157</f>
        <v>0</v>
      </c>
      <c r="N157" s="23">
        <f>K157*100/E157</f>
        <v>85.652173913043484</v>
      </c>
      <c r="O157" s="23">
        <f t="shared" si="22"/>
        <v>33000</v>
      </c>
      <c r="P157" s="23"/>
      <c r="Q157" s="23"/>
      <c r="R157" s="23"/>
      <c r="S157" s="23"/>
      <c r="T157" s="23"/>
      <c r="U157" s="23">
        <v>33000</v>
      </c>
      <c r="V157" s="24" t="s">
        <v>218</v>
      </c>
    </row>
    <row r="158" spans="1:27" ht="42" x14ac:dyDescent="0.2">
      <c r="A158" s="87">
        <v>15.22</v>
      </c>
      <c r="B158" s="88"/>
      <c r="C158" s="21" t="s">
        <v>219</v>
      </c>
      <c r="D158" s="89" t="s">
        <v>70</v>
      </c>
      <c r="E158" s="90">
        <v>641900</v>
      </c>
      <c r="F158" s="91"/>
      <c r="G158" s="92"/>
      <c r="H158" s="92"/>
      <c r="I158" s="92"/>
      <c r="J158" s="92"/>
      <c r="K158" s="23">
        <f>[1]ยอดรวมรายหน่วย!Q73</f>
        <v>0</v>
      </c>
      <c r="L158" s="23">
        <f t="shared" si="23"/>
        <v>570000</v>
      </c>
      <c r="M158" s="23">
        <f>71900-O158</f>
        <v>0</v>
      </c>
      <c r="N158" s="23">
        <f t="shared" ref="N158:N159" si="24">K158*100/E158</f>
        <v>0</v>
      </c>
      <c r="O158" s="23">
        <f t="shared" si="22"/>
        <v>71900</v>
      </c>
      <c r="P158" s="23"/>
      <c r="Q158" s="23"/>
      <c r="R158" s="23"/>
      <c r="S158" s="23"/>
      <c r="T158" s="23"/>
      <c r="U158" s="23">
        <v>71900</v>
      </c>
      <c r="V158" s="24" t="s">
        <v>220</v>
      </c>
    </row>
    <row r="159" spans="1:27" ht="42" x14ac:dyDescent="0.2">
      <c r="A159" s="87">
        <v>15.23</v>
      </c>
      <c r="B159" s="88"/>
      <c r="C159" s="216" t="s">
        <v>221</v>
      </c>
      <c r="D159" s="89" t="s">
        <v>70</v>
      </c>
      <c r="E159" s="90">
        <v>1337000</v>
      </c>
      <c r="F159" s="91"/>
      <c r="G159" s="92"/>
      <c r="H159" s="92"/>
      <c r="I159" s="92"/>
      <c r="J159" s="92"/>
      <c r="K159" s="23">
        <f>[1]ยอดรวมรายหน่วย!Q74</f>
        <v>0</v>
      </c>
      <c r="L159" s="23">
        <f t="shared" si="23"/>
        <v>1170000</v>
      </c>
      <c r="M159" s="23">
        <f>167000-O159</f>
        <v>0</v>
      </c>
      <c r="N159" s="23">
        <f t="shared" si="24"/>
        <v>0</v>
      </c>
      <c r="O159" s="23">
        <f t="shared" si="22"/>
        <v>167000</v>
      </c>
      <c r="P159" s="23"/>
      <c r="Q159" s="23"/>
      <c r="R159" s="23"/>
      <c r="S159" s="23"/>
      <c r="T159" s="23"/>
      <c r="U159" s="23">
        <v>167000</v>
      </c>
      <c r="V159" s="24" t="s">
        <v>220</v>
      </c>
    </row>
    <row r="160" spans="1:27" ht="42" x14ac:dyDescent="0.2">
      <c r="A160" s="87">
        <v>15.24</v>
      </c>
      <c r="B160" s="88"/>
      <c r="C160" s="93" t="s">
        <v>222</v>
      </c>
      <c r="D160" s="89" t="s">
        <v>33</v>
      </c>
      <c r="E160" s="90">
        <v>1290000</v>
      </c>
      <c r="F160" s="91"/>
      <c r="G160" s="92"/>
      <c r="H160" s="92"/>
      <c r="I160" s="92"/>
      <c r="J160" s="92"/>
      <c r="K160" s="23">
        <f>[1]ยอดรวมรายหน่วย!Q22</f>
        <v>772500</v>
      </c>
      <c r="L160" s="23">
        <f t="shared" si="23"/>
        <v>515000</v>
      </c>
      <c r="M160" s="23">
        <f>1290000-1287500-O160</f>
        <v>0</v>
      </c>
      <c r="N160" s="23">
        <f>K160*100/E160</f>
        <v>59.883720930232556</v>
      </c>
      <c r="O160" s="23">
        <f t="shared" si="22"/>
        <v>2500</v>
      </c>
      <c r="P160" s="23"/>
      <c r="Q160" s="23"/>
      <c r="R160" s="23"/>
      <c r="S160" s="23"/>
      <c r="T160" s="23"/>
      <c r="U160" s="23">
        <v>2500</v>
      </c>
      <c r="V160" s="24" t="s">
        <v>220</v>
      </c>
    </row>
    <row r="161" spans="1:28" ht="84" x14ac:dyDescent="0.2">
      <c r="A161" s="1">
        <v>15.25</v>
      </c>
      <c r="B161" s="94"/>
      <c r="C161" s="95" t="s">
        <v>223</v>
      </c>
      <c r="D161" s="89" t="s">
        <v>75</v>
      </c>
      <c r="E161" s="97">
        <v>487000</v>
      </c>
      <c r="F161" s="98"/>
      <c r="G161" s="99"/>
      <c r="H161" s="99"/>
      <c r="I161" s="99"/>
      <c r="J161" s="99"/>
      <c r="K161" s="5">
        <f>[1]ยอดรวมรายหน่วย!Q67</f>
        <v>466000</v>
      </c>
      <c r="L161" s="5">
        <f t="shared" si="23"/>
        <v>0</v>
      </c>
      <c r="M161" s="5">
        <f>21000-O161</f>
        <v>0</v>
      </c>
      <c r="N161" s="5">
        <f>K161*100/E161</f>
        <v>95.687885010266939</v>
      </c>
      <c r="O161" s="23">
        <f t="shared" si="22"/>
        <v>21000</v>
      </c>
      <c r="P161" s="5"/>
      <c r="Q161" s="5"/>
      <c r="R161" s="5"/>
      <c r="S161" s="5"/>
      <c r="T161" s="5"/>
      <c r="U161" s="5">
        <v>21000</v>
      </c>
      <c r="V161" s="24" t="s">
        <v>218</v>
      </c>
      <c r="W161" s="100">
        <v>42852</v>
      </c>
      <c r="Y161" s="7" t="s">
        <v>224</v>
      </c>
      <c r="Z161" s="6">
        <v>60036260561</v>
      </c>
      <c r="AA161" s="101" t="s">
        <v>225</v>
      </c>
      <c r="AB161" s="6">
        <v>7009800857</v>
      </c>
    </row>
    <row r="162" spans="1:28" ht="63" x14ac:dyDescent="0.2">
      <c r="A162" s="1">
        <v>15.26</v>
      </c>
      <c r="B162" s="94"/>
      <c r="C162" s="95" t="s">
        <v>226</v>
      </c>
      <c r="D162" s="96" t="s">
        <v>227</v>
      </c>
      <c r="E162" s="97">
        <v>1760000</v>
      </c>
      <c r="F162" s="98"/>
      <c r="G162" s="99"/>
      <c r="H162" s="99"/>
      <c r="I162" s="99"/>
      <c r="J162" s="99"/>
      <c r="K162" s="5">
        <f>[1]ยอดรวมรายหน่วย!Q68</f>
        <v>0</v>
      </c>
      <c r="L162" s="5">
        <f t="shared" si="23"/>
        <v>1760000</v>
      </c>
      <c r="M162" s="5"/>
      <c r="N162" s="5">
        <f>K162*100/E162</f>
        <v>0</v>
      </c>
      <c r="O162" s="5"/>
      <c r="P162" s="5"/>
      <c r="Q162" s="5"/>
      <c r="R162" s="5"/>
      <c r="S162" s="5"/>
      <c r="T162" s="5"/>
      <c r="U162" s="5"/>
      <c r="V162" s="2" t="s">
        <v>220</v>
      </c>
      <c r="W162" s="100"/>
      <c r="AA162" s="101"/>
    </row>
    <row r="163" spans="1:28" s="16" customFormat="1" x14ac:dyDescent="0.2">
      <c r="A163" s="158"/>
      <c r="B163" s="217"/>
      <c r="C163" s="138" t="s">
        <v>228</v>
      </c>
      <c r="D163" s="155"/>
      <c r="E163" s="193">
        <f>E137+E138+E139+E140+E141+E142+E143+E144+E145+E146+E147+E149+E151+E152+E153+E154+E155+E156+E157+E161</f>
        <v>29954000</v>
      </c>
      <c r="F163" s="218"/>
      <c r="G163" s="194"/>
      <c r="H163" s="194"/>
      <c r="I163" s="194"/>
      <c r="J163" s="194"/>
      <c r="K163" s="141">
        <f>SUM(K137:K161)</f>
        <v>25153548.579999998</v>
      </c>
      <c r="L163" s="141">
        <f>E163-K163-M163</f>
        <v>4800451.4200000018</v>
      </c>
      <c r="M163" s="141">
        <f>SUM(M137:M161)</f>
        <v>0</v>
      </c>
      <c r="N163" s="141">
        <f>K163*100/E163</f>
        <v>83.973921946985371</v>
      </c>
      <c r="O163" s="141"/>
      <c r="P163" s="141"/>
      <c r="Q163" s="141"/>
      <c r="R163" s="141"/>
      <c r="S163" s="141"/>
      <c r="T163" s="141"/>
      <c r="U163" s="141"/>
      <c r="V163" s="137"/>
      <c r="Y163" s="17"/>
    </row>
    <row r="164" spans="1:28" x14ac:dyDescent="0.2">
      <c r="A164" s="268" t="s">
        <v>229</v>
      </c>
      <c r="B164" s="269"/>
      <c r="C164" s="269"/>
      <c r="D164" s="269"/>
      <c r="E164" s="125">
        <f>E168</f>
        <v>9100000</v>
      </c>
      <c r="F164" s="125"/>
      <c r="G164" s="125"/>
      <c r="H164" s="125"/>
      <c r="I164" s="125"/>
      <c r="J164" s="125"/>
      <c r="K164" s="125">
        <f>K168</f>
        <v>8130409</v>
      </c>
      <c r="L164" s="125">
        <f t="shared" ref="L164" si="25">E164-K164-M164</f>
        <v>969591</v>
      </c>
      <c r="M164" s="125">
        <f>M168</f>
        <v>0</v>
      </c>
      <c r="N164" s="125">
        <f>K164*100/E164</f>
        <v>89.345153846153849</v>
      </c>
      <c r="O164" s="125"/>
      <c r="P164" s="125"/>
      <c r="Q164" s="125"/>
      <c r="R164" s="125"/>
      <c r="S164" s="125"/>
      <c r="T164" s="125"/>
      <c r="U164" s="125"/>
      <c r="V164" s="127"/>
    </row>
    <row r="165" spans="1:28" ht="42" x14ac:dyDescent="0.2">
      <c r="A165" s="25">
        <v>16</v>
      </c>
      <c r="B165" s="219"/>
      <c r="C165" s="107" t="s">
        <v>230</v>
      </c>
      <c r="D165" s="42"/>
      <c r="E165" s="220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42"/>
    </row>
    <row r="166" spans="1:28" ht="84" x14ac:dyDescent="0.2">
      <c r="A166" s="108">
        <v>16.100000000000001</v>
      </c>
      <c r="B166" s="221"/>
      <c r="C166" s="59" t="s">
        <v>231</v>
      </c>
      <c r="D166" s="59" t="s">
        <v>232</v>
      </c>
      <c r="E166" s="57">
        <v>6300000</v>
      </c>
      <c r="F166" s="58"/>
      <c r="G166" s="58"/>
      <c r="H166" s="58"/>
      <c r="I166" s="58"/>
      <c r="J166" s="58"/>
      <c r="K166" s="58">
        <f>[1]ยอดรวมรายหน่วย!Q113</f>
        <v>5611409</v>
      </c>
      <c r="L166" s="58">
        <f>E166-K166-M166-O166</f>
        <v>213941</v>
      </c>
      <c r="M166" s="58">
        <f>[1]ยอดรวมรายหน่วย!R113-O166</f>
        <v>0</v>
      </c>
      <c r="N166" s="58">
        <f>K166*100/E166</f>
        <v>89.069984126984124</v>
      </c>
      <c r="O166" s="58">
        <f>U166</f>
        <v>474650</v>
      </c>
      <c r="P166" s="58"/>
      <c r="Q166" s="58"/>
      <c r="R166" s="58"/>
      <c r="S166" s="58"/>
      <c r="T166" s="58"/>
      <c r="U166" s="58">
        <v>474650</v>
      </c>
      <c r="V166" s="59"/>
    </row>
    <row r="167" spans="1:28" ht="84" x14ac:dyDescent="0.2">
      <c r="A167" s="80">
        <v>16.2</v>
      </c>
      <c r="B167" s="88"/>
      <c r="C167" s="24" t="s">
        <v>233</v>
      </c>
      <c r="D167" s="35" t="s">
        <v>232</v>
      </c>
      <c r="E167" s="60">
        <v>2800000</v>
      </c>
      <c r="F167" s="23"/>
      <c r="G167" s="23"/>
      <c r="H167" s="23"/>
      <c r="I167" s="23"/>
      <c r="J167" s="23"/>
      <c r="K167" s="23">
        <f>[1]ที่ทำการปกครองจังหวัดฯ!I20</f>
        <v>2519000</v>
      </c>
      <c r="L167" s="23">
        <f>E167-K167-M167-O167</f>
        <v>0</v>
      </c>
      <c r="M167" s="23">
        <f>[1]ยอดรวมรายหน่วย!R114-O167</f>
        <v>0</v>
      </c>
      <c r="N167" s="23">
        <f>K167*100/E167</f>
        <v>89.964285714285708</v>
      </c>
      <c r="O167" s="23">
        <f>U167</f>
        <v>281000</v>
      </c>
      <c r="P167" s="23"/>
      <c r="Q167" s="23"/>
      <c r="R167" s="23"/>
      <c r="S167" s="23"/>
      <c r="T167" s="23"/>
      <c r="U167" s="23">
        <v>281000</v>
      </c>
      <c r="V167" s="24"/>
    </row>
    <row r="168" spans="1:28" s="16" customFormat="1" x14ac:dyDescent="0.2">
      <c r="A168" s="158"/>
      <c r="B168" s="217"/>
      <c r="C168" s="138" t="s">
        <v>119</v>
      </c>
      <c r="D168" s="139"/>
      <c r="E168" s="140">
        <f>SUM(E166:E167)</f>
        <v>9100000</v>
      </c>
      <c r="F168" s="141"/>
      <c r="G168" s="141"/>
      <c r="H168" s="141"/>
      <c r="I168" s="141"/>
      <c r="J168" s="141"/>
      <c r="K168" s="141">
        <f>SUM(K166:K167)</f>
        <v>8130409</v>
      </c>
      <c r="L168" s="141">
        <f>E168-K168-M168</f>
        <v>969591</v>
      </c>
      <c r="M168" s="141">
        <f>SUM(M166:M167)</f>
        <v>0</v>
      </c>
      <c r="N168" s="141">
        <f>K168*100/E168</f>
        <v>89.345153846153849</v>
      </c>
      <c r="O168" s="141"/>
      <c r="P168" s="141"/>
      <c r="Q168" s="141"/>
      <c r="R168" s="141"/>
      <c r="S168" s="141"/>
      <c r="T168" s="141"/>
      <c r="U168" s="141"/>
      <c r="V168" s="137"/>
      <c r="Y168" s="17"/>
    </row>
    <row r="169" spans="1:28" s="16" customFormat="1" x14ac:dyDescent="0.2">
      <c r="A169" s="25">
        <v>20</v>
      </c>
      <c r="B169" s="102"/>
      <c r="C169" s="103" t="s">
        <v>234</v>
      </c>
      <c r="D169" s="104"/>
      <c r="E169" s="105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7"/>
      <c r="Y169" s="17"/>
    </row>
    <row r="170" spans="1:28" s="16" customFormat="1" ht="84" x14ac:dyDescent="0.2">
      <c r="A170" s="108">
        <v>20.100000000000001</v>
      </c>
      <c r="B170" s="109"/>
      <c r="C170" s="110" t="s">
        <v>235</v>
      </c>
      <c r="D170" s="222" t="s">
        <v>236</v>
      </c>
      <c r="E170" s="223">
        <v>3250600</v>
      </c>
      <c r="F170" s="78"/>
      <c r="G170" s="78"/>
      <c r="H170" s="78"/>
      <c r="I170" s="78"/>
      <c r="J170" s="78"/>
      <c r="K170" s="78">
        <f>[1]ยอดรวมรายหน่วย!Q129</f>
        <v>0</v>
      </c>
      <c r="L170" s="58">
        <f>E170-K170-M170-O170</f>
        <v>3246500</v>
      </c>
      <c r="M170" s="58">
        <f>4100-O170</f>
        <v>0</v>
      </c>
      <c r="N170" s="78">
        <f>K170*100/E170</f>
        <v>0</v>
      </c>
      <c r="O170" s="58">
        <f>U170</f>
        <v>4100</v>
      </c>
      <c r="P170" s="78"/>
      <c r="Q170" s="78"/>
      <c r="R170" s="78"/>
      <c r="S170" s="78"/>
      <c r="T170" s="78"/>
      <c r="U170" s="58">
        <v>4100</v>
      </c>
      <c r="V170" s="59" t="s">
        <v>99</v>
      </c>
      <c r="Y170" s="17"/>
    </row>
    <row r="171" spans="1:28" s="16" customFormat="1" ht="49.5" customHeight="1" x14ac:dyDescent="0.2">
      <c r="A171" s="80">
        <v>20.2</v>
      </c>
      <c r="B171" s="111"/>
      <c r="C171" s="81" t="s">
        <v>237</v>
      </c>
      <c r="D171" s="112" t="s">
        <v>238</v>
      </c>
      <c r="E171" s="82">
        <v>300000</v>
      </c>
      <c r="F171" s="22"/>
      <c r="G171" s="22"/>
      <c r="H171" s="22"/>
      <c r="I171" s="22"/>
      <c r="J171" s="22"/>
      <c r="K171" s="23">
        <f>[1]ยอดรวมรายหน่วย!Q126</f>
        <v>248200</v>
      </c>
      <c r="L171" s="23">
        <f>E171-K171-M171</f>
        <v>51800</v>
      </c>
      <c r="M171" s="22"/>
      <c r="N171" s="22">
        <f>K171*100/E171</f>
        <v>82.733333333333334</v>
      </c>
      <c r="O171" s="22"/>
      <c r="P171" s="22"/>
      <c r="Q171" s="22"/>
      <c r="R171" s="22"/>
      <c r="S171" s="22"/>
      <c r="T171" s="22"/>
      <c r="U171" s="22"/>
      <c r="V171" s="24" t="s">
        <v>99</v>
      </c>
      <c r="Y171" s="17"/>
    </row>
    <row r="172" spans="1:28" s="16" customFormat="1" x14ac:dyDescent="0.2">
      <c r="A172" s="158"/>
      <c r="B172" s="217"/>
      <c r="C172" s="138" t="s">
        <v>119</v>
      </c>
      <c r="D172" s="139"/>
      <c r="E172" s="140">
        <f>SUM(E170:E171)</f>
        <v>3550600</v>
      </c>
      <c r="F172" s="141"/>
      <c r="G172" s="141"/>
      <c r="H172" s="141"/>
      <c r="I172" s="141"/>
      <c r="J172" s="141"/>
      <c r="K172" s="141">
        <f>SUM(K170:K171)</f>
        <v>248200</v>
      </c>
      <c r="L172" s="141">
        <f>E172-K172-M172</f>
        <v>3302400</v>
      </c>
      <c r="M172" s="141">
        <f>SUM(M170:M171)</f>
        <v>0</v>
      </c>
      <c r="N172" s="141">
        <f>K172*100/E172</f>
        <v>6.9903678251563113</v>
      </c>
      <c r="O172" s="141"/>
      <c r="P172" s="141"/>
      <c r="Q172" s="141"/>
      <c r="R172" s="141"/>
      <c r="S172" s="141"/>
      <c r="T172" s="141"/>
      <c r="U172" s="141"/>
      <c r="V172" s="137"/>
      <c r="Y172" s="17"/>
    </row>
    <row r="173" spans="1:28" s="16" customFormat="1" x14ac:dyDescent="0.2">
      <c r="A173" s="113">
        <v>21</v>
      </c>
      <c r="B173" s="114"/>
      <c r="C173" s="50" t="s">
        <v>239</v>
      </c>
      <c r="D173" s="115"/>
      <c r="E173" s="14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2"/>
      <c r="Y173" s="17"/>
    </row>
    <row r="174" spans="1:28" s="16" customFormat="1" ht="42" x14ac:dyDescent="0.2">
      <c r="A174" s="80">
        <v>21.1</v>
      </c>
      <c r="B174" s="111"/>
      <c r="C174" s="81" t="s">
        <v>240</v>
      </c>
      <c r="D174" s="116" t="s">
        <v>241</v>
      </c>
      <c r="E174" s="82">
        <v>500000</v>
      </c>
      <c r="F174" s="22"/>
      <c r="G174" s="22"/>
      <c r="H174" s="22"/>
      <c r="I174" s="22"/>
      <c r="J174" s="22"/>
      <c r="K174" s="23">
        <f>[1]ยอดรวมรายหน่วย!Q127</f>
        <v>427601</v>
      </c>
      <c r="L174" s="23">
        <f>E174-K174-M174</f>
        <v>72399</v>
      </c>
      <c r="M174" s="22"/>
      <c r="N174" s="23">
        <f t="shared" ref="N174:N178" si="26">K174*100/E174</f>
        <v>85.520200000000003</v>
      </c>
      <c r="O174" s="22"/>
      <c r="P174" s="22"/>
      <c r="Q174" s="22"/>
      <c r="R174" s="22"/>
      <c r="S174" s="22"/>
      <c r="T174" s="22"/>
      <c r="U174" s="22"/>
      <c r="V174" s="24" t="s">
        <v>99</v>
      </c>
      <c r="Y174" s="17"/>
    </row>
    <row r="175" spans="1:28" s="16" customFormat="1" x14ac:dyDescent="0.2">
      <c r="A175" s="158"/>
      <c r="B175" s="217"/>
      <c r="C175" s="138" t="s">
        <v>28</v>
      </c>
      <c r="D175" s="139"/>
      <c r="E175" s="140">
        <f>SUM(E174)</f>
        <v>500000</v>
      </c>
      <c r="F175" s="141"/>
      <c r="G175" s="141"/>
      <c r="H175" s="141"/>
      <c r="I175" s="141"/>
      <c r="J175" s="141"/>
      <c r="K175" s="141">
        <f>SUM(K174)</f>
        <v>427601</v>
      </c>
      <c r="L175" s="141">
        <f>E175-K175-M175</f>
        <v>72399</v>
      </c>
      <c r="M175" s="141">
        <f>SUM(M174)</f>
        <v>0</v>
      </c>
      <c r="N175" s="141">
        <f t="shared" si="26"/>
        <v>85.520200000000003</v>
      </c>
      <c r="O175" s="141"/>
      <c r="P175" s="141"/>
      <c r="Q175" s="141"/>
      <c r="R175" s="141"/>
      <c r="S175" s="141"/>
      <c r="T175" s="141"/>
      <c r="U175" s="141"/>
      <c r="V175" s="137"/>
      <c r="Y175" s="17"/>
    </row>
    <row r="176" spans="1:28" x14ac:dyDescent="0.2">
      <c r="A176" s="270" t="s">
        <v>242</v>
      </c>
      <c r="B176" s="271"/>
      <c r="C176" s="271"/>
      <c r="D176" s="271"/>
      <c r="E176" s="187">
        <f>E178</f>
        <v>10000000</v>
      </c>
      <c r="F176" s="126"/>
      <c r="G176" s="126"/>
      <c r="H176" s="126"/>
      <c r="I176" s="126"/>
      <c r="J176" s="126"/>
      <c r="K176" s="126">
        <f>K178</f>
        <v>6044566.75</v>
      </c>
      <c r="L176" s="188">
        <f t="shared" ref="L176" si="27">E176-K176-M176</f>
        <v>3955433.25</v>
      </c>
      <c r="M176" s="126">
        <f>M178</f>
        <v>0</v>
      </c>
      <c r="N176" s="126">
        <f t="shared" si="26"/>
        <v>60.445667499999999</v>
      </c>
      <c r="O176" s="126"/>
      <c r="P176" s="126"/>
      <c r="Q176" s="126"/>
      <c r="R176" s="126"/>
      <c r="S176" s="126"/>
      <c r="T176" s="126"/>
      <c r="U176" s="126"/>
      <c r="V176" s="127"/>
    </row>
    <row r="177" spans="1:25" ht="63" x14ac:dyDescent="0.2">
      <c r="A177" s="113">
        <v>17</v>
      </c>
      <c r="B177" s="224"/>
      <c r="C177" s="224" t="s">
        <v>243</v>
      </c>
      <c r="D177" s="28" t="s">
        <v>107</v>
      </c>
      <c r="E177" s="52">
        <v>10000000</v>
      </c>
      <c r="F177" s="53"/>
      <c r="G177" s="53"/>
      <c r="H177" s="53"/>
      <c r="I177" s="53"/>
      <c r="J177" s="53"/>
      <c r="K177" s="53">
        <f>[1]ยอดรวมรายหน่วย!Q118</f>
        <v>6044566.75</v>
      </c>
      <c r="L177" s="53">
        <f>E177-K177-M177</f>
        <v>3955433.25</v>
      </c>
      <c r="M177" s="53"/>
      <c r="N177" s="53">
        <f t="shared" si="26"/>
        <v>60.445667499999999</v>
      </c>
      <c r="O177" s="53"/>
      <c r="P177" s="53"/>
      <c r="Q177" s="53"/>
      <c r="R177" s="53"/>
      <c r="S177" s="53"/>
      <c r="T177" s="53"/>
      <c r="U177" s="53"/>
      <c r="V177" s="32"/>
    </row>
    <row r="178" spans="1:25" s="16" customFormat="1" x14ac:dyDescent="0.2">
      <c r="A178" s="158"/>
      <c r="B178" s="217"/>
      <c r="C178" s="225" t="s">
        <v>244</v>
      </c>
      <c r="D178" s="139"/>
      <c r="E178" s="140">
        <f>SUM(E177)</f>
        <v>10000000</v>
      </c>
      <c r="F178" s="141"/>
      <c r="G178" s="141"/>
      <c r="H178" s="141"/>
      <c r="I178" s="141"/>
      <c r="J178" s="141"/>
      <c r="K178" s="141">
        <f>SUM(K177)</f>
        <v>6044566.75</v>
      </c>
      <c r="L178" s="141">
        <f>E178-K178-M178</f>
        <v>3955433.25</v>
      </c>
      <c r="M178" s="141">
        <f>SUM(M177)</f>
        <v>0</v>
      </c>
      <c r="N178" s="141">
        <f t="shared" si="26"/>
        <v>60.445667499999999</v>
      </c>
      <c r="O178" s="141"/>
      <c r="P178" s="141"/>
      <c r="Q178" s="141"/>
      <c r="R178" s="141"/>
      <c r="S178" s="141"/>
      <c r="T178" s="141"/>
      <c r="U178" s="141"/>
      <c r="V178" s="137"/>
      <c r="Y178" s="17"/>
    </row>
    <row r="179" spans="1:25" s="16" customFormat="1" x14ac:dyDescent="0.2">
      <c r="A179" s="226"/>
      <c r="B179" s="227"/>
      <c r="C179" s="185" t="s">
        <v>245</v>
      </c>
      <c r="D179" s="228"/>
      <c r="E179" s="125">
        <f>E178+E168+E163+E130+E126+E122+E119+E102+E88+E77+E70+E64+E61+E58+E47+E18+E9+E135</f>
        <v>237802700</v>
      </c>
      <c r="F179" s="126"/>
      <c r="G179" s="126"/>
      <c r="H179" s="126"/>
      <c r="I179" s="126"/>
      <c r="J179" s="229"/>
      <c r="K179" s="71">
        <f>K9+K18+K47+K58+K61+K64+K70+K74+K77+K88+K102+K119+K122+K126+K130+K135+K163+K168+K172+K175+K178+K112+K106+K104+K82</f>
        <v>170828566.69999999</v>
      </c>
      <c r="L179" s="71">
        <f>E179-K179-M180</f>
        <v>29904210.63000001</v>
      </c>
      <c r="M179" s="71">
        <f>M9+M18+M47+M58+M61+M64+M70+M77+M88+M102+M119+M122+M126+M130+M163+M168+M178+M175+M172+M135+M74+M112+M106+M104+M82</f>
        <v>367922.67000000004</v>
      </c>
      <c r="N179" s="71">
        <f>K179*100/E179</f>
        <v>71.836260353646097</v>
      </c>
      <c r="O179" s="71">
        <f>SUM(O7:O178)</f>
        <v>36702000</v>
      </c>
      <c r="P179" s="71">
        <f t="shared" ref="P179:T179" si="28">SUM(P7:P178)</f>
        <v>12427600</v>
      </c>
      <c r="Q179" s="71">
        <f t="shared" si="28"/>
        <v>4793000</v>
      </c>
      <c r="R179" s="71">
        <f t="shared" si="28"/>
        <v>6700600</v>
      </c>
      <c r="S179" s="71">
        <f t="shared" si="28"/>
        <v>5988900</v>
      </c>
      <c r="T179" s="71">
        <f t="shared" si="28"/>
        <v>450000</v>
      </c>
      <c r="U179" s="71">
        <f>SUM(U7:U178)</f>
        <v>6341900</v>
      </c>
      <c r="V179" s="126"/>
      <c r="Y179" s="17"/>
    </row>
    <row r="180" spans="1:25" s="118" customFormat="1" x14ac:dyDescent="0.2">
      <c r="A180" s="230"/>
      <c r="D180" s="231"/>
      <c r="E180" s="259">
        <v>237802700</v>
      </c>
      <c r="F180" s="231"/>
      <c r="G180" s="231"/>
      <c r="H180" s="231"/>
      <c r="I180" s="233"/>
      <c r="J180" s="231"/>
      <c r="K180" s="234">
        <f>K179-K177</f>
        <v>164783999.94999999</v>
      </c>
      <c r="L180" s="235" t="s">
        <v>246</v>
      </c>
      <c r="M180" s="234">
        <f>M179+O179</f>
        <v>37069922.670000002</v>
      </c>
      <c r="N180" s="117">
        <f>M180*100/E179</f>
        <v>15.588520513013519</v>
      </c>
      <c r="Q180" s="117"/>
      <c r="R180" s="117"/>
      <c r="S180" s="117"/>
      <c r="T180" s="117"/>
      <c r="U180" s="117"/>
      <c r="Y180" s="236"/>
    </row>
    <row r="181" spans="1:25" s="118" customFormat="1" x14ac:dyDescent="0.2">
      <c r="A181" s="230"/>
      <c r="D181" s="231"/>
      <c r="E181" s="259">
        <f>E179-E180</f>
        <v>0</v>
      </c>
      <c r="F181" s="231"/>
      <c r="G181" s="231"/>
      <c r="H181" s="231"/>
      <c r="I181" s="233"/>
      <c r="J181" s="231"/>
      <c r="K181" s="237">
        <f>K180*100/E179</f>
        <v>69.294419260168183</v>
      </c>
      <c r="L181" s="238" t="s">
        <v>247</v>
      </c>
      <c r="M181" s="234">
        <f>O179</f>
        <v>36702000</v>
      </c>
      <c r="N181" s="117">
        <f>M181*100/E179</f>
        <v>15.433802896266528</v>
      </c>
      <c r="O181" s="239">
        <f>M181+V182+M183</f>
        <v>36709770.079999998</v>
      </c>
      <c r="P181" s="117"/>
      <c r="R181" s="117"/>
      <c r="S181" s="240"/>
      <c r="V181" s="117"/>
      <c r="Y181" s="236"/>
    </row>
    <row r="182" spans="1:25" s="118" customFormat="1" x14ac:dyDescent="0.2">
      <c r="A182" s="230"/>
      <c r="D182" s="231"/>
      <c r="E182" s="232"/>
      <c r="F182" s="231"/>
      <c r="G182" s="231"/>
      <c r="H182" s="231"/>
      <c r="I182" s="233"/>
      <c r="J182" s="231"/>
      <c r="K182" s="234">
        <f>K179+L179+M179+O179</f>
        <v>237802699.99999997</v>
      </c>
      <c r="L182" s="238" t="s">
        <v>248</v>
      </c>
      <c r="M182" s="234">
        <f>M180-M181</f>
        <v>367922.67000000179</v>
      </c>
      <c r="N182" s="237">
        <f>M182*100/E179</f>
        <v>0.15471761674699311</v>
      </c>
      <c r="O182" s="117"/>
      <c r="P182" s="117"/>
      <c r="S182" s="117"/>
      <c r="V182" s="117"/>
      <c r="Y182" s="236"/>
    </row>
    <row r="183" spans="1:25" s="118" customFormat="1" x14ac:dyDescent="0.2">
      <c r="A183" s="230"/>
      <c r="D183" s="231"/>
      <c r="E183" s="241"/>
      <c r="F183" s="231"/>
      <c r="G183" s="231"/>
      <c r="H183" s="231"/>
      <c r="I183" s="233"/>
      <c r="J183" s="231"/>
      <c r="K183" s="232">
        <f>K179+L179+M180</f>
        <v>237802700</v>
      </c>
      <c r="L183" s="238" t="s">
        <v>249</v>
      </c>
      <c r="M183" s="242">
        <v>7770.08</v>
      </c>
      <c r="N183" s="243" t="s">
        <v>250</v>
      </c>
      <c r="O183" s="117"/>
      <c r="P183" s="117"/>
      <c r="S183" s="117"/>
      <c r="V183" s="117"/>
      <c r="Y183" s="236"/>
    </row>
    <row r="184" spans="1:25" s="118" customFormat="1" x14ac:dyDescent="0.2">
      <c r="A184" s="230"/>
      <c r="D184" s="231"/>
      <c r="F184" s="231"/>
      <c r="G184" s="231"/>
      <c r="H184" s="231"/>
      <c r="I184" s="233"/>
      <c r="J184" s="231"/>
      <c r="K184" s="242"/>
      <c r="L184" s="244" t="s">
        <v>251</v>
      </c>
      <c r="M184" s="245">
        <f>M182-M183</f>
        <v>360152.59000000177</v>
      </c>
      <c r="N184" s="117"/>
      <c r="O184" s="117"/>
      <c r="P184" s="117"/>
      <c r="S184" s="117"/>
      <c r="Y184" s="236"/>
    </row>
    <row r="185" spans="1:25" s="149" customFormat="1" x14ac:dyDescent="0.2">
      <c r="A185" s="246"/>
      <c r="D185" s="247"/>
      <c r="E185" s="248"/>
      <c r="F185" s="247"/>
      <c r="G185" s="247"/>
      <c r="H185" s="247"/>
      <c r="I185" s="249"/>
      <c r="J185" s="247"/>
      <c r="K185" s="250"/>
      <c r="L185" s="251"/>
      <c r="M185" s="252"/>
      <c r="N185" s="239"/>
      <c r="O185" s="239"/>
      <c r="P185" s="239"/>
      <c r="Q185" s="239"/>
      <c r="R185" s="239"/>
      <c r="Y185" s="150"/>
    </row>
    <row r="186" spans="1:25" s="149" customFormat="1" x14ac:dyDescent="0.2">
      <c r="A186" s="246"/>
      <c r="D186" s="247"/>
      <c r="E186" s="248"/>
      <c r="F186" s="247"/>
      <c r="G186" s="247"/>
      <c r="H186" s="247"/>
      <c r="I186" s="249"/>
      <c r="J186" s="247"/>
      <c r="K186" s="250"/>
      <c r="P186" s="239"/>
      <c r="Q186" s="239"/>
      <c r="R186" s="239"/>
      <c r="Y186" s="150"/>
    </row>
    <row r="187" spans="1:25" s="149" customFormat="1" x14ac:dyDescent="0.2">
      <c r="A187" s="246"/>
      <c r="D187" s="247"/>
      <c r="E187" s="248"/>
      <c r="F187" s="247"/>
      <c r="G187" s="247"/>
      <c r="H187" s="247"/>
      <c r="I187" s="249"/>
      <c r="J187" s="247"/>
      <c r="K187" s="253"/>
      <c r="O187" s="239"/>
      <c r="P187" s="239"/>
      <c r="Q187" s="239"/>
      <c r="R187" s="239"/>
      <c r="Y187" s="150"/>
    </row>
    <row r="188" spans="1:25" s="149" customFormat="1" x14ac:dyDescent="0.2">
      <c r="A188" s="246"/>
      <c r="D188" s="247"/>
      <c r="E188" s="248"/>
      <c r="F188" s="247"/>
      <c r="G188" s="247"/>
      <c r="H188" s="247"/>
      <c r="I188" s="249"/>
      <c r="J188" s="247"/>
      <c r="O188" s="239"/>
      <c r="P188" s="239"/>
      <c r="Q188" s="239"/>
      <c r="R188" s="239"/>
      <c r="S188" s="239"/>
      <c r="T188" s="239"/>
      <c r="U188" s="239"/>
      <c r="Y188" s="150"/>
    </row>
    <row r="189" spans="1:25" s="149" customFormat="1" x14ac:dyDescent="0.2">
      <c r="A189" s="246"/>
      <c r="D189" s="247"/>
      <c r="E189" s="248"/>
      <c r="F189" s="247"/>
      <c r="G189" s="247"/>
      <c r="H189" s="247"/>
      <c r="I189" s="249"/>
      <c r="J189" s="247"/>
      <c r="O189" s="239"/>
      <c r="P189" s="239"/>
      <c r="Q189" s="239"/>
      <c r="R189" s="239"/>
      <c r="S189" s="239"/>
      <c r="T189" s="239"/>
      <c r="U189" s="239"/>
      <c r="Y189" s="150"/>
    </row>
    <row r="190" spans="1:25" s="149" customFormat="1" x14ac:dyDescent="0.2">
      <c r="A190" s="246"/>
      <c r="D190" s="247"/>
      <c r="E190" s="248"/>
      <c r="F190" s="247"/>
      <c r="G190" s="247"/>
      <c r="H190" s="247"/>
      <c r="I190" s="249"/>
      <c r="J190" s="247"/>
      <c r="O190" s="239"/>
      <c r="P190" s="239"/>
      <c r="Q190" s="239"/>
      <c r="R190" s="239"/>
      <c r="S190" s="239"/>
      <c r="T190" s="239"/>
      <c r="U190" s="239"/>
      <c r="Y190" s="150"/>
    </row>
    <row r="191" spans="1:25" s="149" customFormat="1" x14ac:dyDescent="0.2">
      <c r="A191" s="246"/>
      <c r="D191" s="247"/>
      <c r="E191" s="248"/>
      <c r="F191" s="247"/>
      <c r="G191" s="247"/>
      <c r="H191" s="247"/>
      <c r="I191" s="249"/>
      <c r="J191" s="247"/>
      <c r="O191" s="239"/>
      <c r="P191" s="239"/>
      <c r="Q191" s="239"/>
      <c r="R191" s="239"/>
      <c r="S191" s="239"/>
      <c r="T191" s="239"/>
      <c r="U191" s="239"/>
      <c r="Y191" s="150"/>
    </row>
    <row r="192" spans="1:25" s="149" customFormat="1" x14ac:dyDescent="0.2">
      <c r="A192" s="246"/>
      <c r="D192" s="247"/>
      <c r="E192" s="254"/>
      <c r="F192" s="247"/>
      <c r="G192" s="247"/>
      <c r="H192" s="247"/>
      <c r="I192" s="249"/>
      <c r="J192" s="247"/>
      <c r="O192" s="239"/>
      <c r="P192" s="239"/>
      <c r="Q192" s="239"/>
      <c r="R192" s="239"/>
      <c r="S192" s="239"/>
      <c r="T192" s="239"/>
      <c r="U192" s="239"/>
      <c r="Y192" s="150"/>
    </row>
    <row r="193" spans="11:12" x14ac:dyDescent="0.2">
      <c r="K193" s="47"/>
      <c r="L193" s="47"/>
    </row>
  </sheetData>
  <mergeCells count="22">
    <mergeCell ref="P4:U5"/>
    <mergeCell ref="V4:V5"/>
    <mergeCell ref="A1:V1"/>
    <mergeCell ref="A2:V2"/>
    <mergeCell ref="A3:J3"/>
    <mergeCell ref="A4:A5"/>
    <mergeCell ref="B4:B5"/>
    <mergeCell ref="C4:C5"/>
    <mergeCell ref="D4:D5"/>
    <mergeCell ref="E4:E5"/>
    <mergeCell ref="F4:J4"/>
    <mergeCell ref="K4:K5"/>
    <mergeCell ref="A176:D176"/>
    <mergeCell ref="L4:L5"/>
    <mergeCell ref="M4:M5"/>
    <mergeCell ref="N4:N5"/>
    <mergeCell ref="O4:O5"/>
    <mergeCell ref="A6:D6"/>
    <mergeCell ref="A98:A101"/>
    <mergeCell ref="A115:D115"/>
    <mergeCell ref="A127:D127"/>
    <mergeCell ref="A164:D164"/>
  </mergeCells>
  <pageMargins left="0.19685039370078741" right="0.19685039370078741" top="0.19685039370078741" bottom="0.19685039370078741" header="0.19685039370078741" footer="0.19685039370078741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90" zoomScaleNormal="90" workbookViewId="0">
      <selection activeCell="H6" sqref="H6"/>
    </sheetView>
  </sheetViews>
  <sheetFormatPr defaultRowHeight="21" x14ac:dyDescent="0.35"/>
  <cols>
    <col min="1" max="1" width="22.625" style="293" customWidth="1"/>
    <col min="2" max="2" width="24.375" style="293" customWidth="1"/>
    <col min="3" max="3" width="16.25" style="293" customWidth="1"/>
    <col min="4" max="4" width="20.625" style="293" customWidth="1"/>
    <col min="5" max="5" width="12.625" style="293" customWidth="1"/>
    <col min="6" max="253" width="9" style="293"/>
    <col min="254" max="254" width="22.625" style="293" customWidth="1"/>
    <col min="255" max="255" width="24.375" style="293" customWidth="1"/>
    <col min="256" max="256" width="17.625" style="293" customWidth="1"/>
    <col min="257" max="257" width="16.625" style="293" customWidth="1"/>
    <col min="258" max="258" width="15.75" style="293" customWidth="1"/>
    <col min="259" max="259" width="18.5" style="293" customWidth="1"/>
    <col min="260" max="260" width="20.625" style="293" customWidth="1"/>
    <col min="261" max="509" width="9" style="293"/>
    <col min="510" max="510" width="22.625" style="293" customWidth="1"/>
    <col min="511" max="511" width="24.375" style="293" customWidth="1"/>
    <col min="512" max="512" width="17.625" style="293" customWidth="1"/>
    <col min="513" max="513" width="16.625" style="293" customWidth="1"/>
    <col min="514" max="514" width="15.75" style="293" customWidth="1"/>
    <col min="515" max="515" width="18.5" style="293" customWidth="1"/>
    <col min="516" max="516" width="20.625" style="293" customWidth="1"/>
    <col min="517" max="765" width="9" style="293"/>
    <col min="766" max="766" width="22.625" style="293" customWidth="1"/>
    <col min="767" max="767" width="24.375" style="293" customWidth="1"/>
    <col min="768" max="768" width="17.625" style="293" customWidth="1"/>
    <col min="769" max="769" width="16.625" style="293" customWidth="1"/>
    <col min="770" max="770" width="15.75" style="293" customWidth="1"/>
    <col min="771" max="771" width="18.5" style="293" customWidth="1"/>
    <col min="772" max="772" width="20.625" style="293" customWidth="1"/>
    <col min="773" max="1021" width="9" style="293"/>
    <col min="1022" max="1022" width="22.625" style="293" customWidth="1"/>
    <col min="1023" max="1023" width="24.375" style="293" customWidth="1"/>
    <col min="1024" max="1024" width="17.625" style="293" customWidth="1"/>
    <col min="1025" max="1025" width="16.625" style="293" customWidth="1"/>
    <col min="1026" max="1026" width="15.75" style="293" customWidth="1"/>
    <col min="1027" max="1027" width="18.5" style="293" customWidth="1"/>
    <col min="1028" max="1028" width="20.625" style="293" customWidth="1"/>
    <col min="1029" max="1277" width="9" style="293"/>
    <col min="1278" max="1278" width="22.625" style="293" customWidth="1"/>
    <col min="1279" max="1279" width="24.375" style="293" customWidth="1"/>
    <col min="1280" max="1280" width="17.625" style="293" customWidth="1"/>
    <col min="1281" max="1281" width="16.625" style="293" customWidth="1"/>
    <col min="1282" max="1282" width="15.75" style="293" customWidth="1"/>
    <col min="1283" max="1283" width="18.5" style="293" customWidth="1"/>
    <col min="1284" max="1284" width="20.625" style="293" customWidth="1"/>
    <col min="1285" max="1533" width="9" style="293"/>
    <col min="1534" max="1534" width="22.625" style="293" customWidth="1"/>
    <col min="1535" max="1535" width="24.375" style="293" customWidth="1"/>
    <col min="1536" max="1536" width="17.625" style="293" customWidth="1"/>
    <col min="1537" max="1537" width="16.625" style="293" customWidth="1"/>
    <col min="1538" max="1538" width="15.75" style="293" customWidth="1"/>
    <col min="1539" max="1539" width="18.5" style="293" customWidth="1"/>
    <col min="1540" max="1540" width="20.625" style="293" customWidth="1"/>
    <col min="1541" max="1789" width="9" style="293"/>
    <col min="1790" max="1790" width="22.625" style="293" customWidth="1"/>
    <col min="1791" max="1791" width="24.375" style="293" customWidth="1"/>
    <col min="1792" max="1792" width="17.625" style="293" customWidth="1"/>
    <col min="1793" max="1793" width="16.625" style="293" customWidth="1"/>
    <col min="1794" max="1794" width="15.75" style="293" customWidth="1"/>
    <col min="1795" max="1795" width="18.5" style="293" customWidth="1"/>
    <col min="1796" max="1796" width="20.625" style="293" customWidth="1"/>
    <col min="1797" max="2045" width="9" style="293"/>
    <col min="2046" max="2046" width="22.625" style="293" customWidth="1"/>
    <col min="2047" max="2047" width="24.375" style="293" customWidth="1"/>
    <col min="2048" max="2048" width="17.625" style="293" customWidth="1"/>
    <col min="2049" max="2049" width="16.625" style="293" customWidth="1"/>
    <col min="2050" max="2050" width="15.75" style="293" customWidth="1"/>
    <col min="2051" max="2051" width="18.5" style="293" customWidth="1"/>
    <col min="2052" max="2052" width="20.625" style="293" customWidth="1"/>
    <col min="2053" max="2301" width="9" style="293"/>
    <col min="2302" max="2302" width="22.625" style="293" customWidth="1"/>
    <col min="2303" max="2303" width="24.375" style="293" customWidth="1"/>
    <col min="2304" max="2304" width="17.625" style="293" customWidth="1"/>
    <col min="2305" max="2305" width="16.625" style="293" customWidth="1"/>
    <col min="2306" max="2306" width="15.75" style="293" customWidth="1"/>
    <col min="2307" max="2307" width="18.5" style="293" customWidth="1"/>
    <col min="2308" max="2308" width="20.625" style="293" customWidth="1"/>
    <col min="2309" max="2557" width="9" style="293"/>
    <col min="2558" max="2558" width="22.625" style="293" customWidth="1"/>
    <col min="2559" max="2559" width="24.375" style="293" customWidth="1"/>
    <col min="2560" max="2560" width="17.625" style="293" customWidth="1"/>
    <col min="2561" max="2561" width="16.625" style="293" customWidth="1"/>
    <col min="2562" max="2562" width="15.75" style="293" customWidth="1"/>
    <col min="2563" max="2563" width="18.5" style="293" customWidth="1"/>
    <col min="2564" max="2564" width="20.625" style="293" customWidth="1"/>
    <col min="2565" max="2813" width="9" style="293"/>
    <col min="2814" max="2814" width="22.625" style="293" customWidth="1"/>
    <col min="2815" max="2815" width="24.375" style="293" customWidth="1"/>
    <col min="2816" max="2816" width="17.625" style="293" customWidth="1"/>
    <col min="2817" max="2817" width="16.625" style="293" customWidth="1"/>
    <col min="2818" max="2818" width="15.75" style="293" customWidth="1"/>
    <col min="2819" max="2819" width="18.5" style="293" customWidth="1"/>
    <col min="2820" max="2820" width="20.625" style="293" customWidth="1"/>
    <col min="2821" max="3069" width="9" style="293"/>
    <col min="3070" max="3070" width="22.625" style="293" customWidth="1"/>
    <col min="3071" max="3071" width="24.375" style="293" customWidth="1"/>
    <col min="3072" max="3072" width="17.625" style="293" customWidth="1"/>
    <col min="3073" max="3073" width="16.625" style="293" customWidth="1"/>
    <col min="3074" max="3074" width="15.75" style="293" customWidth="1"/>
    <col min="3075" max="3075" width="18.5" style="293" customWidth="1"/>
    <col min="3076" max="3076" width="20.625" style="293" customWidth="1"/>
    <col min="3077" max="3325" width="9" style="293"/>
    <col min="3326" max="3326" width="22.625" style="293" customWidth="1"/>
    <col min="3327" max="3327" width="24.375" style="293" customWidth="1"/>
    <col min="3328" max="3328" width="17.625" style="293" customWidth="1"/>
    <col min="3329" max="3329" width="16.625" style="293" customWidth="1"/>
    <col min="3330" max="3330" width="15.75" style="293" customWidth="1"/>
    <col min="3331" max="3331" width="18.5" style="293" customWidth="1"/>
    <col min="3332" max="3332" width="20.625" style="293" customWidth="1"/>
    <col min="3333" max="3581" width="9" style="293"/>
    <col min="3582" max="3582" width="22.625" style="293" customWidth="1"/>
    <col min="3583" max="3583" width="24.375" style="293" customWidth="1"/>
    <col min="3584" max="3584" width="17.625" style="293" customWidth="1"/>
    <col min="3585" max="3585" width="16.625" style="293" customWidth="1"/>
    <col min="3586" max="3586" width="15.75" style="293" customWidth="1"/>
    <col min="3587" max="3587" width="18.5" style="293" customWidth="1"/>
    <col min="3588" max="3588" width="20.625" style="293" customWidth="1"/>
    <col min="3589" max="3837" width="9" style="293"/>
    <col min="3838" max="3838" width="22.625" style="293" customWidth="1"/>
    <col min="3839" max="3839" width="24.375" style="293" customWidth="1"/>
    <col min="3840" max="3840" width="17.625" style="293" customWidth="1"/>
    <col min="3841" max="3841" width="16.625" style="293" customWidth="1"/>
    <col min="3842" max="3842" width="15.75" style="293" customWidth="1"/>
    <col min="3843" max="3843" width="18.5" style="293" customWidth="1"/>
    <col min="3844" max="3844" width="20.625" style="293" customWidth="1"/>
    <col min="3845" max="4093" width="9" style="293"/>
    <col min="4094" max="4094" width="22.625" style="293" customWidth="1"/>
    <col min="4095" max="4095" width="24.375" style="293" customWidth="1"/>
    <col min="4096" max="4096" width="17.625" style="293" customWidth="1"/>
    <col min="4097" max="4097" width="16.625" style="293" customWidth="1"/>
    <col min="4098" max="4098" width="15.75" style="293" customWidth="1"/>
    <col min="4099" max="4099" width="18.5" style="293" customWidth="1"/>
    <col min="4100" max="4100" width="20.625" style="293" customWidth="1"/>
    <col min="4101" max="4349" width="9" style="293"/>
    <col min="4350" max="4350" width="22.625" style="293" customWidth="1"/>
    <col min="4351" max="4351" width="24.375" style="293" customWidth="1"/>
    <col min="4352" max="4352" width="17.625" style="293" customWidth="1"/>
    <col min="4353" max="4353" width="16.625" style="293" customWidth="1"/>
    <col min="4354" max="4354" width="15.75" style="293" customWidth="1"/>
    <col min="4355" max="4355" width="18.5" style="293" customWidth="1"/>
    <col min="4356" max="4356" width="20.625" style="293" customWidth="1"/>
    <col min="4357" max="4605" width="9" style="293"/>
    <col min="4606" max="4606" width="22.625" style="293" customWidth="1"/>
    <col min="4607" max="4607" width="24.375" style="293" customWidth="1"/>
    <col min="4608" max="4608" width="17.625" style="293" customWidth="1"/>
    <col min="4609" max="4609" width="16.625" style="293" customWidth="1"/>
    <col min="4610" max="4610" width="15.75" style="293" customWidth="1"/>
    <col min="4611" max="4611" width="18.5" style="293" customWidth="1"/>
    <col min="4612" max="4612" width="20.625" style="293" customWidth="1"/>
    <col min="4613" max="4861" width="9" style="293"/>
    <col min="4862" max="4862" width="22.625" style="293" customWidth="1"/>
    <col min="4863" max="4863" width="24.375" style="293" customWidth="1"/>
    <col min="4864" max="4864" width="17.625" style="293" customWidth="1"/>
    <col min="4865" max="4865" width="16.625" style="293" customWidth="1"/>
    <col min="4866" max="4866" width="15.75" style="293" customWidth="1"/>
    <col min="4867" max="4867" width="18.5" style="293" customWidth="1"/>
    <col min="4868" max="4868" width="20.625" style="293" customWidth="1"/>
    <col min="4869" max="5117" width="9" style="293"/>
    <col min="5118" max="5118" width="22.625" style="293" customWidth="1"/>
    <col min="5119" max="5119" width="24.375" style="293" customWidth="1"/>
    <col min="5120" max="5120" width="17.625" style="293" customWidth="1"/>
    <col min="5121" max="5121" width="16.625" style="293" customWidth="1"/>
    <col min="5122" max="5122" width="15.75" style="293" customWidth="1"/>
    <col min="5123" max="5123" width="18.5" style="293" customWidth="1"/>
    <col min="5124" max="5124" width="20.625" style="293" customWidth="1"/>
    <col min="5125" max="5373" width="9" style="293"/>
    <col min="5374" max="5374" width="22.625" style="293" customWidth="1"/>
    <col min="5375" max="5375" width="24.375" style="293" customWidth="1"/>
    <col min="5376" max="5376" width="17.625" style="293" customWidth="1"/>
    <col min="5377" max="5377" width="16.625" style="293" customWidth="1"/>
    <col min="5378" max="5378" width="15.75" style="293" customWidth="1"/>
    <col min="5379" max="5379" width="18.5" style="293" customWidth="1"/>
    <col min="5380" max="5380" width="20.625" style="293" customWidth="1"/>
    <col min="5381" max="5629" width="9" style="293"/>
    <col min="5630" max="5630" width="22.625" style="293" customWidth="1"/>
    <col min="5631" max="5631" width="24.375" style="293" customWidth="1"/>
    <col min="5632" max="5632" width="17.625" style="293" customWidth="1"/>
    <col min="5633" max="5633" width="16.625" style="293" customWidth="1"/>
    <col min="5634" max="5634" width="15.75" style="293" customWidth="1"/>
    <col min="5635" max="5635" width="18.5" style="293" customWidth="1"/>
    <col min="5636" max="5636" width="20.625" style="293" customWidth="1"/>
    <col min="5637" max="5885" width="9" style="293"/>
    <col min="5886" max="5886" width="22.625" style="293" customWidth="1"/>
    <col min="5887" max="5887" width="24.375" style="293" customWidth="1"/>
    <col min="5888" max="5888" width="17.625" style="293" customWidth="1"/>
    <col min="5889" max="5889" width="16.625" style="293" customWidth="1"/>
    <col min="5890" max="5890" width="15.75" style="293" customWidth="1"/>
    <col min="5891" max="5891" width="18.5" style="293" customWidth="1"/>
    <col min="5892" max="5892" width="20.625" style="293" customWidth="1"/>
    <col min="5893" max="6141" width="9" style="293"/>
    <col min="6142" max="6142" width="22.625" style="293" customWidth="1"/>
    <col min="6143" max="6143" width="24.375" style="293" customWidth="1"/>
    <col min="6144" max="6144" width="17.625" style="293" customWidth="1"/>
    <col min="6145" max="6145" width="16.625" style="293" customWidth="1"/>
    <col min="6146" max="6146" width="15.75" style="293" customWidth="1"/>
    <col min="6147" max="6147" width="18.5" style="293" customWidth="1"/>
    <col min="6148" max="6148" width="20.625" style="293" customWidth="1"/>
    <col min="6149" max="6397" width="9" style="293"/>
    <col min="6398" max="6398" width="22.625" style="293" customWidth="1"/>
    <col min="6399" max="6399" width="24.375" style="293" customWidth="1"/>
    <col min="6400" max="6400" width="17.625" style="293" customWidth="1"/>
    <col min="6401" max="6401" width="16.625" style="293" customWidth="1"/>
    <col min="6402" max="6402" width="15.75" style="293" customWidth="1"/>
    <col min="6403" max="6403" width="18.5" style="293" customWidth="1"/>
    <col min="6404" max="6404" width="20.625" style="293" customWidth="1"/>
    <col min="6405" max="6653" width="9" style="293"/>
    <col min="6654" max="6654" width="22.625" style="293" customWidth="1"/>
    <col min="6655" max="6655" width="24.375" style="293" customWidth="1"/>
    <col min="6656" max="6656" width="17.625" style="293" customWidth="1"/>
    <col min="6657" max="6657" width="16.625" style="293" customWidth="1"/>
    <col min="6658" max="6658" width="15.75" style="293" customWidth="1"/>
    <col min="6659" max="6659" width="18.5" style="293" customWidth="1"/>
    <col min="6660" max="6660" width="20.625" style="293" customWidth="1"/>
    <col min="6661" max="6909" width="9" style="293"/>
    <col min="6910" max="6910" width="22.625" style="293" customWidth="1"/>
    <col min="6911" max="6911" width="24.375" style="293" customWidth="1"/>
    <col min="6912" max="6912" width="17.625" style="293" customWidth="1"/>
    <col min="6913" max="6913" width="16.625" style="293" customWidth="1"/>
    <col min="6914" max="6914" width="15.75" style="293" customWidth="1"/>
    <col min="6915" max="6915" width="18.5" style="293" customWidth="1"/>
    <col min="6916" max="6916" width="20.625" style="293" customWidth="1"/>
    <col min="6917" max="7165" width="9" style="293"/>
    <col min="7166" max="7166" width="22.625" style="293" customWidth="1"/>
    <col min="7167" max="7167" width="24.375" style="293" customWidth="1"/>
    <col min="7168" max="7168" width="17.625" style="293" customWidth="1"/>
    <col min="7169" max="7169" width="16.625" style="293" customWidth="1"/>
    <col min="7170" max="7170" width="15.75" style="293" customWidth="1"/>
    <col min="7171" max="7171" width="18.5" style="293" customWidth="1"/>
    <col min="7172" max="7172" width="20.625" style="293" customWidth="1"/>
    <col min="7173" max="7421" width="9" style="293"/>
    <col min="7422" max="7422" width="22.625" style="293" customWidth="1"/>
    <col min="7423" max="7423" width="24.375" style="293" customWidth="1"/>
    <col min="7424" max="7424" width="17.625" style="293" customWidth="1"/>
    <col min="7425" max="7425" width="16.625" style="293" customWidth="1"/>
    <col min="7426" max="7426" width="15.75" style="293" customWidth="1"/>
    <col min="7427" max="7427" width="18.5" style="293" customWidth="1"/>
    <col min="7428" max="7428" width="20.625" style="293" customWidth="1"/>
    <col min="7429" max="7677" width="9" style="293"/>
    <col min="7678" max="7678" width="22.625" style="293" customWidth="1"/>
    <col min="7679" max="7679" width="24.375" style="293" customWidth="1"/>
    <col min="7680" max="7680" width="17.625" style="293" customWidth="1"/>
    <col min="7681" max="7681" width="16.625" style="293" customWidth="1"/>
    <col min="7682" max="7682" width="15.75" style="293" customWidth="1"/>
    <col min="7683" max="7683" width="18.5" style="293" customWidth="1"/>
    <col min="7684" max="7684" width="20.625" style="293" customWidth="1"/>
    <col min="7685" max="7933" width="9" style="293"/>
    <col min="7934" max="7934" width="22.625" style="293" customWidth="1"/>
    <col min="7935" max="7935" width="24.375" style="293" customWidth="1"/>
    <col min="7936" max="7936" width="17.625" style="293" customWidth="1"/>
    <col min="7937" max="7937" width="16.625" style="293" customWidth="1"/>
    <col min="7938" max="7938" width="15.75" style="293" customWidth="1"/>
    <col min="7939" max="7939" width="18.5" style="293" customWidth="1"/>
    <col min="7940" max="7940" width="20.625" style="293" customWidth="1"/>
    <col min="7941" max="8189" width="9" style="293"/>
    <col min="8190" max="8190" width="22.625" style="293" customWidth="1"/>
    <col min="8191" max="8191" width="24.375" style="293" customWidth="1"/>
    <col min="8192" max="8192" width="17.625" style="293" customWidth="1"/>
    <col min="8193" max="8193" width="16.625" style="293" customWidth="1"/>
    <col min="8194" max="8194" width="15.75" style="293" customWidth="1"/>
    <col min="8195" max="8195" width="18.5" style="293" customWidth="1"/>
    <col min="8196" max="8196" width="20.625" style="293" customWidth="1"/>
    <col min="8197" max="8445" width="9" style="293"/>
    <col min="8446" max="8446" width="22.625" style="293" customWidth="1"/>
    <col min="8447" max="8447" width="24.375" style="293" customWidth="1"/>
    <col min="8448" max="8448" width="17.625" style="293" customWidth="1"/>
    <col min="8449" max="8449" width="16.625" style="293" customWidth="1"/>
    <col min="8450" max="8450" width="15.75" style="293" customWidth="1"/>
    <col min="8451" max="8451" width="18.5" style="293" customWidth="1"/>
    <col min="8452" max="8452" width="20.625" style="293" customWidth="1"/>
    <col min="8453" max="8701" width="9" style="293"/>
    <col min="8702" max="8702" width="22.625" style="293" customWidth="1"/>
    <col min="8703" max="8703" width="24.375" style="293" customWidth="1"/>
    <col min="8704" max="8704" width="17.625" style="293" customWidth="1"/>
    <col min="8705" max="8705" width="16.625" style="293" customWidth="1"/>
    <col min="8706" max="8706" width="15.75" style="293" customWidth="1"/>
    <col min="8707" max="8707" width="18.5" style="293" customWidth="1"/>
    <col min="8708" max="8708" width="20.625" style="293" customWidth="1"/>
    <col min="8709" max="8957" width="9" style="293"/>
    <col min="8958" max="8958" width="22.625" style="293" customWidth="1"/>
    <col min="8959" max="8959" width="24.375" style="293" customWidth="1"/>
    <col min="8960" max="8960" width="17.625" style="293" customWidth="1"/>
    <col min="8961" max="8961" width="16.625" style="293" customWidth="1"/>
    <col min="8962" max="8962" width="15.75" style="293" customWidth="1"/>
    <col min="8963" max="8963" width="18.5" style="293" customWidth="1"/>
    <col min="8964" max="8964" width="20.625" style="293" customWidth="1"/>
    <col min="8965" max="9213" width="9" style="293"/>
    <col min="9214" max="9214" width="22.625" style="293" customWidth="1"/>
    <col min="9215" max="9215" width="24.375" style="293" customWidth="1"/>
    <col min="9216" max="9216" width="17.625" style="293" customWidth="1"/>
    <col min="9217" max="9217" width="16.625" style="293" customWidth="1"/>
    <col min="9218" max="9218" width="15.75" style="293" customWidth="1"/>
    <col min="9219" max="9219" width="18.5" style="293" customWidth="1"/>
    <col min="9220" max="9220" width="20.625" style="293" customWidth="1"/>
    <col min="9221" max="9469" width="9" style="293"/>
    <col min="9470" max="9470" width="22.625" style="293" customWidth="1"/>
    <col min="9471" max="9471" width="24.375" style="293" customWidth="1"/>
    <col min="9472" max="9472" width="17.625" style="293" customWidth="1"/>
    <col min="9473" max="9473" width="16.625" style="293" customWidth="1"/>
    <col min="9474" max="9474" width="15.75" style="293" customWidth="1"/>
    <col min="9475" max="9475" width="18.5" style="293" customWidth="1"/>
    <col min="9476" max="9476" width="20.625" style="293" customWidth="1"/>
    <col min="9477" max="9725" width="9" style="293"/>
    <col min="9726" max="9726" width="22.625" style="293" customWidth="1"/>
    <col min="9727" max="9727" width="24.375" style="293" customWidth="1"/>
    <col min="9728" max="9728" width="17.625" style="293" customWidth="1"/>
    <col min="9729" max="9729" width="16.625" style="293" customWidth="1"/>
    <col min="9730" max="9730" width="15.75" style="293" customWidth="1"/>
    <col min="9731" max="9731" width="18.5" style="293" customWidth="1"/>
    <col min="9732" max="9732" width="20.625" style="293" customWidth="1"/>
    <col min="9733" max="9981" width="9" style="293"/>
    <col min="9982" max="9982" width="22.625" style="293" customWidth="1"/>
    <col min="9983" max="9983" width="24.375" style="293" customWidth="1"/>
    <col min="9984" max="9984" width="17.625" style="293" customWidth="1"/>
    <col min="9985" max="9985" width="16.625" style="293" customWidth="1"/>
    <col min="9986" max="9986" width="15.75" style="293" customWidth="1"/>
    <col min="9987" max="9987" width="18.5" style="293" customWidth="1"/>
    <col min="9988" max="9988" width="20.625" style="293" customWidth="1"/>
    <col min="9989" max="10237" width="9" style="293"/>
    <col min="10238" max="10238" width="22.625" style="293" customWidth="1"/>
    <col min="10239" max="10239" width="24.375" style="293" customWidth="1"/>
    <col min="10240" max="10240" width="17.625" style="293" customWidth="1"/>
    <col min="10241" max="10241" width="16.625" style="293" customWidth="1"/>
    <col min="10242" max="10242" width="15.75" style="293" customWidth="1"/>
    <col min="10243" max="10243" width="18.5" style="293" customWidth="1"/>
    <col min="10244" max="10244" width="20.625" style="293" customWidth="1"/>
    <col min="10245" max="10493" width="9" style="293"/>
    <col min="10494" max="10494" width="22.625" style="293" customWidth="1"/>
    <col min="10495" max="10495" width="24.375" style="293" customWidth="1"/>
    <col min="10496" max="10496" width="17.625" style="293" customWidth="1"/>
    <col min="10497" max="10497" width="16.625" style="293" customWidth="1"/>
    <col min="10498" max="10498" width="15.75" style="293" customWidth="1"/>
    <col min="10499" max="10499" width="18.5" style="293" customWidth="1"/>
    <col min="10500" max="10500" width="20.625" style="293" customWidth="1"/>
    <col min="10501" max="10749" width="9" style="293"/>
    <col min="10750" max="10750" width="22.625" style="293" customWidth="1"/>
    <col min="10751" max="10751" width="24.375" style="293" customWidth="1"/>
    <col min="10752" max="10752" width="17.625" style="293" customWidth="1"/>
    <col min="10753" max="10753" width="16.625" style="293" customWidth="1"/>
    <col min="10754" max="10754" width="15.75" style="293" customWidth="1"/>
    <col min="10755" max="10755" width="18.5" style="293" customWidth="1"/>
    <col min="10756" max="10756" width="20.625" style="293" customWidth="1"/>
    <col min="10757" max="11005" width="9" style="293"/>
    <col min="11006" max="11006" width="22.625" style="293" customWidth="1"/>
    <col min="11007" max="11007" width="24.375" style="293" customWidth="1"/>
    <col min="11008" max="11008" width="17.625" style="293" customWidth="1"/>
    <col min="11009" max="11009" width="16.625" style="293" customWidth="1"/>
    <col min="11010" max="11010" width="15.75" style="293" customWidth="1"/>
    <col min="11011" max="11011" width="18.5" style="293" customWidth="1"/>
    <col min="11012" max="11012" width="20.625" style="293" customWidth="1"/>
    <col min="11013" max="11261" width="9" style="293"/>
    <col min="11262" max="11262" width="22.625" style="293" customWidth="1"/>
    <col min="11263" max="11263" width="24.375" style="293" customWidth="1"/>
    <col min="11264" max="11264" width="17.625" style="293" customWidth="1"/>
    <col min="11265" max="11265" width="16.625" style="293" customWidth="1"/>
    <col min="11266" max="11266" width="15.75" style="293" customWidth="1"/>
    <col min="11267" max="11267" width="18.5" style="293" customWidth="1"/>
    <col min="11268" max="11268" width="20.625" style="293" customWidth="1"/>
    <col min="11269" max="11517" width="9" style="293"/>
    <col min="11518" max="11518" width="22.625" style="293" customWidth="1"/>
    <col min="11519" max="11519" width="24.375" style="293" customWidth="1"/>
    <col min="11520" max="11520" width="17.625" style="293" customWidth="1"/>
    <col min="11521" max="11521" width="16.625" style="293" customWidth="1"/>
    <col min="11522" max="11522" width="15.75" style="293" customWidth="1"/>
    <col min="11523" max="11523" width="18.5" style="293" customWidth="1"/>
    <col min="11524" max="11524" width="20.625" style="293" customWidth="1"/>
    <col min="11525" max="11773" width="9" style="293"/>
    <col min="11774" max="11774" width="22.625" style="293" customWidth="1"/>
    <col min="11775" max="11775" width="24.375" style="293" customWidth="1"/>
    <col min="11776" max="11776" width="17.625" style="293" customWidth="1"/>
    <col min="11777" max="11777" width="16.625" style="293" customWidth="1"/>
    <col min="11778" max="11778" width="15.75" style="293" customWidth="1"/>
    <col min="11779" max="11779" width="18.5" style="293" customWidth="1"/>
    <col min="11780" max="11780" width="20.625" style="293" customWidth="1"/>
    <col min="11781" max="12029" width="9" style="293"/>
    <col min="12030" max="12030" width="22.625" style="293" customWidth="1"/>
    <col min="12031" max="12031" width="24.375" style="293" customWidth="1"/>
    <col min="12032" max="12032" width="17.625" style="293" customWidth="1"/>
    <col min="12033" max="12033" width="16.625" style="293" customWidth="1"/>
    <col min="12034" max="12034" width="15.75" style="293" customWidth="1"/>
    <col min="12035" max="12035" width="18.5" style="293" customWidth="1"/>
    <col min="12036" max="12036" width="20.625" style="293" customWidth="1"/>
    <col min="12037" max="12285" width="9" style="293"/>
    <col min="12286" max="12286" width="22.625" style="293" customWidth="1"/>
    <col min="12287" max="12287" width="24.375" style="293" customWidth="1"/>
    <col min="12288" max="12288" width="17.625" style="293" customWidth="1"/>
    <col min="12289" max="12289" width="16.625" style="293" customWidth="1"/>
    <col min="12290" max="12290" width="15.75" style="293" customWidth="1"/>
    <col min="12291" max="12291" width="18.5" style="293" customWidth="1"/>
    <col min="12292" max="12292" width="20.625" style="293" customWidth="1"/>
    <col min="12293" max="12541" width="9" style="293"/>
    <col min="12542" max="12542" width="22.625" style="293" customWidth="1"/>
    <col min="12543" max="12543" width="24.375" style="293" customWidth="1"/>
    <col min="12544" max="12544" width="17.625" style="293" customWidth="1"/>
    <col min="12545" max="12545" width="16.625" style="293" customWidth="1"/>
    <col min="12546" max="12546" width="15.75" style="293" customWidth="1"/>
    <col min="12547" max="12547" width="18.5" style="293" customWidth="1"/>
    <col min="12548" max="12548" width="20.625" style="293" customWidth="1"/>
    <col min="12549" max="12797" width="9" style="293"/>
    <col min="12798" max="12798" width="22.625" style="293" customWidth="1"/>
    <col min="12799" max="12799" width="24.375" style="293" customWidth="1"/>
    <col min="12800" max="12800" width="17.625" style="293" customWidth="1"/>
    <col min="12801" max="12801" width="16.625" style="293" customWidth="1"/>
    <col min="12802" max="12802" width="15.75" style="293" customWidth="1"/>
    <col min="12803" max="12803" width="18.5" style="293" customWidth="1"/>
    <col min="12804" max="12804" width="20.625" style="293" customWidth="1"/>
    <col min="12805" max="13053" width="9" style="293"/>
    <col min="13054" max="13054" width="22.625" style="293" customWidth="1"/>
    <col min="13055" max="13055" width="24.375" style="293" customWidth="1"/>
    <col min="13056" max="13056" width="17.625" style="293" customWidth="1"/>
    <col min="13057" max="13057" width="16.625" style="293" customWidth="1"/>
    <col min="13058" max="13058" width="15.75" style="293" customWidth="1"/>
    <col min="13059" max="13059" width="18.5" style="293" customWidth="1"/>
    <col min="13060" max="13060" width="20.625" style="293" customWidth="1"/>
    <col min="13061" max="13309" width="9" style="293"/>
    <col min="13310" max="13310" width="22.625" style="293" customWidth="1"/>
    <col min="13311" max="13311" width="24.375" style="293" customWidth="1"/>
    <col min="13312" max="13312" width="17.625" style="293" customWidth="1"/>
    <col min="13313" max="13313" width="16.625" style="293" customWidth="1"/>
    <col min="13314" max="13314" width="15.75" style="293" customWidth="1"/>
    <col min="13315" max="13315" width="18.5" style="293" customWidth="1"/>
    <col min="13316" max="13316" width="20.625" style="293" customWidth="1"/>
    <col min="13317" max="13565" width="9" style="293"/>
    <col min="13566" max="13566" width="22.625" style="293" customWidth="1"/>
    <col min="13567" max="13567" width="24.375" style="293" customWidth="1"/>
    <col min="13568" max="13568" width="17.625" style="293" customWidth="1"/>
    <col min="13569" max="13569" width="16.625" style="293" customWidth="1"/>
    <col min="13570" max="13570" width="15.75" style="293" customWidth="1"/>
    <col min="13571" max="13571" width="18.5" style="293" customWidth="1"/>
    <col min="13572" max="13572" width="20.625" style="293" customWidth="1"/>
    <col min="13573" max="13821" width="9" style="293"/>
    <col min="13822" max="13822" width="22.625" style="293" customWidth="1"/>
    <col min="13823" max="13823" width="24.375" style="293" customWidth="1"/>
    <col min="13824" max="13824" width="17.625" style="293" customWidth="1"/>
    <col min="13825" max="13825" width="16.625" style="293" customWidth="1"/>
    <col min="13826" max="13826" width="15.75" style="293" customWidth="1"/>
    <col min="13827" max="13827" width="18.5" style="293" customWidth="1"/>
    <col min="13828" max="13828" width="20.625" style="293" customWidth="1"/>
    <col min="13829" max="14077" width="9" style="293"/>
    <col min="14078" max="14078" width="22.625" style="293" customWidth="1"/>
    <col min="14079" max="14079" width="24.375" style="293" customWidth="1"/>
    <col min="14080" max="14080" width="17.625" style="293" customWidth="1"/>
    <col min="14081" max="14081" width="16.625" style="293" customWidth="1"/>
    <col min="14082" max="14082" width="15.75" style="293" customWidth="1"/>
    <col min="14083" max="14083" width="18.5" style="293" customWidth="1"/>
    <col min="14084" max="14084" width="20.625" style="293" customWidth="1"/>
    <col min="14085" max="14333" width="9" style="293"/>
    <col min="14334" max="14334" width="22.625" style="293" customWidth="1"/>
    <col min="14335" max="14335" width="24.375" style="293" customWidth="1"/>
    <col min="14336" max="14336" width="17.625" style="293" customWidth="1"/>
    <col min="14337" max="14337" width="16.625" style="293" customWidth="1"/>
    <col min="14338" max="14338" width="15.75" style="293" customWidth="1"/>
    <col min="14339" max="14339" width="18.5" style="293" customWidth="1"/>
    <col min="14340" max="14340" width="20.625" style="293" customWidth="1"/>
    <col min="14341" max="14589" width="9" style="293"/>
    <col min="14590" max="14590" width="22.625" style="293" customWidth="1"/>
    <col min="14591" max="14591" width="24.375" style="293" customWidth="1"/>
    <col min="14592" max="14592" width="17.625" style="293" customWidth="1"/>
    <col min="14593" max="14593" width="16.625" style="293" customWidth="1"/>
    <col min="14594" max="14594" width="15.75" style="293" customWidth="1"/>
    <col min="14595" max="14595" width="18.5" style="293" customWidth="1"/>
    <col min="14596" max="14596" width="20.625" style="293" customWidth="1"/>
    <col min="14597" max="14845" width="9" style="293"/>
    <col min="14846" max="14846" width="22.625" style="293" customWidth="1"/>
    <col min="14847" max="14847" width="24.375" style="293" customWidth="1"/>
    <col min="14848" max="14848" width="17.625" style="293" customWidth="1"/>
    <col min="14849" max="14849" width="16.625" style="293" customWidth="1"/>
    <col min="14850" max="14850" width="15.75" style="293" customWidth="1"/>
    <col min="14851" max="14851" width="18.5" style="293" customWidth="1"/>
    <col min="14852" max="14852" width="20.625" style="293" customWidth="1"/>
    <col min="14853" max="15101" width="9" style="293"/>
    <col min="15102" max="15102" width="22.625" style="293" customWidth="1"/>
    <col min="15103" max="15103" width="24.375" style="293" customWidth="1"/>
    <col min="15104" max="15104" width="17.625" style="293" customWidth="1"/>
    <col min="15105" max="15105" width="16.625" style="293" customWidth="1"/>
    <col min="15106" max="15106" width="15.75" style="293" customWidth="1"/>
    <col min="15107" max="15107" width="18.5" style="293" customWidth="1"/>
    <col min="15108" max="15108" width="20.625" style="293" customWidth="1"/>
    <col min="15109" max="15357" width="9" style="293"/>
    <col min="15358" max="15358" width="22.625" style="293" customWidth="1"/>
    <col min="15359" max="15359" width="24.375" style="293" customWidth="1"/>
    <col min="15360" max="15360" width="17.625" style="293" customWidth="1"/>
    <col min="15361" max="15361" width="16.625" style="293" customWidth="1"/>
    <col min="15362" max="15362" width="15.75" style="293" customWidth="1"/>
    <col min="15363" max="15363" width="18.5" style="293" customWidth="1"/>
    <col min="15364" max="15364" width="20.625" style="293" customWidth="1"/>
    <col min="15365" max="15613" width="9" style="293"/>
    <col min="15614" max="15614" width="22.625" style="293" customWidth="1"/>
    <col min="15615" max="15615" width="24.375" style="293" customWidth="1"/>
    <col min="15616" max="15616" width="17.625" style="293" customWidth="1"/>
    <col min="15617" max="15617" width="16.625" style="293" customWidth="1"/>
    <col min="15618" max="15618" width="15.75" style="293" customWidth="1"/>
    <col min="15619" max="15619" width="18.5" style="293" customWidth="1"/>
    <col min="15620" max="15620" width="20.625" style="293" customWidth="1"/>
    <col min="15621" max="15869" width="9" style="293"/>
    <col min="15870" max="15870" width="22.625" style="293" customWidth="1"/>
    <col min="15871" max="15871" width="24.375" style="293" customWidth="1"/>
    <col min="15872" max="15872" width="17.625" style="293" customWidth="1"/>
    <col min="15873" max="15873" width="16.625" style="293" customWidth="1"/>
    <col min="15874" max="15874" width="15.75" style="293" customWidth="1"/>
    <col min="15875" max="15875" width="18.5" style="293" customWidth="1"/>
    <col min="15876" max="15876" width="20.625" style="293" customWidth="1"/>
    <col min="15877" max="16125" width="9" style="293"/>
    <col min="16126" max="16126" width="22.625" style="293" customWidth="1"/>
    <col min="16127" max="16127" width="24.375" style="293" customWidth="1"/>
    <col min="16128" max="16128" width="17.625" style="293" customWidth="1"/>
    <col min="16129" max="16129" width="16.625" style="293" customWidth="1"/>
    <col min="16130" max="16130" width="15.75" style="293" customWidth="1"/>
    <col min="16131" max="16131" width="18.5" style="293" customWidth="1"/>
    <col min="16132" max="16132" width="20.625" style="293" customWidth="1"/>
    <col min="16133" max="16384" width="9" style="293"/>
  </cols>
  <sheetData>
    <row r="1" spans="1:5" x14ac:dyDescent="0.35">
      <c r="A1" s="292" t="s">
        <v>311</v>
      </c>
      <c r="B1" s="292"/>
      <c r="C1" s="292"/>
      <c r="D1" s="292"/>
    </row>
    <row r="2" spans="1:5" x14ac:dyDescent="0.35">
      <c r="A2" s="292" t="s">
        <v>339</v>
      </c>
      <c r="B2" s="292"/>
      <c r="C2" s="292"/>
      <c r="D2" s="292"/>
    </row>
    <row r="3" spans="1:5" x14ac:dyDescent="0.35">
      <c r="A3" s="310" t="s">
        <v>285</v>
      </c>
      <c r="B3" s="310" t="s">
        <v>312</v>
      </c>
      <c r="C3" s="310" t="s">
        <v>4</v>
      </c>
      <c r="D3" s="310" t="s">
        <v>313</v>
      </c>
      <c r="E3" s="310" t="s">
        <v>12</v>
      </c>
    </row>
    <row r="4" spans="1:5" s="303" customFormat="1" ht="63" x14ac:dyDescent="0.2">
      <c r="A4" s="299" t="s">
        <v>314</v>
      </c>
      <c r="B4" s="299" t="s">
        <v>315</v>
      </c>
      <c r="C4" s="343">
        <v>4071000</v>
      </c>
      <c r="D4" s="344" t="s">
        <v>316</v>
      </c>
      <c r="E4" s="348"/>
    </row>
    <row r="5" spans="1:5" s="303" customFormat="1" ht="84" x14ac:dyDescent="0.2">
      <c r="A5" s="345" t="s">
        <v>317</v>
      </c>
      <c r="B5" s="299" t="s">
        <v>318</v>
      </c>
      <c r="C5" s="343">
        <v>600000</v>
      </c>
      <c r="D5" s="299" t="s">
        <v>122</v>
      </c>
      <c r="E5" s="348"/>
    </row>
    <row r="6" spans="1:5" ht="105" x14ac:dyDescent="0.35">
      <c r="A6" s="346"/>
      <c r="B6" s="299" t="s">
        <v>319</v>
      </c>
      <c r="C6" s="343">
        <v>1172000</v>
      </c>
      <c r="D6" s="299" t="s">
        <v>122</v>
      </c>
      <c r="E6" s="309"/>
    </row>
    <row r="7" spans="1:5" ht="84" x14ac:dyDescent="0.35">
      <c r="A7" s="299" t="s">
        <v>320</v>
      </c>
      <c r="B7" s="299" t="s">
        <v>321</v>
      </c>
      <c r="C7" s="343">
        <v>2653900</v>
      </c>
      <c r="D7" s="299" t="s">
        <v>322</v>
      </c>
      <c r="E7" s="309"/>
    </row>
    <row r="8" spans="1:5" ht="42" x14ac:dyDescent="0.35">
      <c r="A8" s="345" t="s">
        <v>323</v>
      </c>
      <c r="B8" s="299" t="s">
        <v>324</v>
      </c>
      <c r="C8" s="343">
        <v>900000</v>
      </c>
      <c r="D8" s="345" t="s">
        <v>39</v>
      </c>
      <c r="E8" s="309"/>
    </row>
    <row r="9" spans="1:5" ht="63" x14ac:dyDescent="0.35">
      <c r="A9" s="347"/>
      <c r="B9" s="299" t="s">
        <v>325</v>
      </c>
      <c r="C9" s="343">
        <v>2100000</v>
      </c>
      <c r="D9" s="347"/>
      <c r="E9" s="309"/>
    </row>
    <row r="10" spans="1:5" ht="84" x14ac:dyDescent="0.35">
      <c r="A10" s="347"/>
      <c r="B10" s="299" t="s">
        <v>326</v>
      </c>
      <c r="C10" s="343">
        <v>500000</v>
      </c>
      <c r="D10" s="347"/>
      <c r="E10" s="309"/>
    </row>
    <row r="11" spans="1:5" ht="63" x14ac:dyDescent="0.35">
      <c r="A11" s="347"/>
      <c r="B11" s="299" t="s">
        <v>327</v>
      </c>
      <c r="C11" s="343">
        <v>800000</v>
      </c>
      <c r="D11" s="347"/>
      <c r="E11" s="309"/>
    </row>
    <row r="12" spans="1:5" ht="84" x14ac:dyDescent="0.35">
      <c r="A12" s="347"/>
      <c r="B12" s="299" t="s">
        <v>328</v>
      </c>
      <c r="C12" s="343">
        <v>800000</v>
      </c>
      <c r="D12" s="346"/>
      <c r="E12" s="309"/>
    </row>
    <row r="13" spans="1:5" ht="42" x14ac:dyDescent="0.35">
      <c r="A13" s="346"/>
      <c r="B13" s="299" t="s">
        <v>329</v>
      </c>
      <c r="C13" s="343">
        <v>1750000</v>
      </c>
      <c r="D13" s="299" t="s">
        <v>330</v>
      </c>
      <c r="E13" s="309"/>
    </row>
    <row r="14" spans="1:5" ht="63" x14ac:dyDescent="0.35">
      <c r="A14" s="345" t="s">
        <v>331</v>
      </c>
      <c r="B14" s="348" t="s">
        <v>332</v>
      </c>
      <c r="C14" s="343">
        <v>1000000</v>
      </c>
      <c r="D14" s="299" t="s">
        <v>333</v>
      </c>
      <c r="E14" s="309"/>
    </row>
    <row r="15" spans="1:5" s="303" customFormat="1" ht="239.25" customHeight="1" x14ac:dyDescent="0.2">
      <c r="A15" s="346"/>
      <c r="B15" s="299" t="s">
        <v>334</v>
      </c>
      <c r="C15" s="343">
        <v>2000000</v>
      </c>
      <c r="D15" s="299" t="s">
        <v>335</v>
      </c>
      <c r="E15" s="348"/>
    </row>
    <row r="16" spans="1:5" s="303" customFormat="1" ht="63" x14ac:dyDescent="0.2">
      <c r="A16" s="299" t="s">
        <v>336</v>
      </c>
      <c r="B16" s="348" t="s">
        <v>337</v>
      </c>
      <c r="C16" s="343">
        <v>800000</v>
      </c>
      <c r="D16" s="299" t="s">
        <v>333</v>
      </c>
      <c r="E16" s="348"/>
    </row>
    <row r="17" spans="1:4" x14ac:dyDescent="0.35">
      <c r="A17" s="349"/>
      <c r="B17" s="312" t="s">
        <v>338</v>
      </c>
      <c r="C17" s="350">
        <f>SUM(C4+C5+C6+C7+C8+C9+C13+C14+C15+C16)</f>
        <v>17046900</v>
      </c>
      <c r="D17" s="351"/>
    </row>
  </sheetData>
  <mergeCells count="6">
    <mergeCell ref="A1:D1"/>
    <mergeCell ref="A2:D2"/>
    <mergeCell ref="A5:A6"/>
    <mergeCell ref="A8:A13"/>
    <mergeCell ref="D8:D12"/>
    <mergeCell ref="A14:A15"/>
  </mergeCells>
  <pageMargins left="0.19685039370078741" right="0.19685039370078741" top="0.19685039370078741" bottom="0.19685039370078741" header="0.19685039370078741" footer="0.19685039370078741"/>
  <pageSetup paperSize="9" scale="9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C7" sqref="C7"/>
    </sheetView>
  </sheetViews>
  <sheetFormatPr defaultRowHeight="21" x14ac:dyDescent="0.35"/>
  <cols>
    <col min="1" max="1" width="4.75" style="293" customWidth="1"/>
    <col min="2" max="2" width="46" style="293" customWidth="1"/>
    <col min="3" max="3" width="20.125" style="293" customWidth="1"/>
    <col min="4" max="4" width="23.25" style="293" customWidth="1"/>
    <col min="5" max="5" width="12.25" style="293" hidden="1" customWidth="1"/>
    <col min="6" max="16384" width="9" style="293"/>
  </cols>
  <sheetData>
    <row r="1" spans="1:6" x14ac:dyDescent="0.35">
      <c r="A1" s="292" t="s">
        <v>252</v>
      </c>
      <c r="B1" s="292"/>
      <c r="C1" s="292"/>
      <c r="D1" s="292"/>
    </row>
    <row r="2" spans="1:6" x14ac:dyDescent="0.35">
      <c r="A2" s="292" t="s">
        <v>253</v>
      </c>
      <c r="B2" s="292"/>
      <c r="C2" s="292"/>
      <c r="D2" s="292"/>
    </row>
    <row r="3" spans="1:6" x14ac:dyDescent="0.35">
      <c r="A3" s="294" t="s">
        <v>254</v>
      </c>
      <c r="B3" s="294"/>
      <c r="C3" s="294"/>
      <c r="D3" s="294"/>
    </row>
    <row r="4" spans="1:6" x14ac:dyDescent="0.35">
      <c r="A4" s="295" t="s">
        <v>255</v>
      </c>
      <c r="B4" s="295"/>
      <c r="C4" s="295"/>
      <c r="D4" s="295"/>
    </row>
    <row r="5" spans="1:6" ht="42" x14ac:dyDescent="0.35">
      <c r="A5" s="296" t="s">
        <v>256</v>
      </c>
      <c r="B5" s="296" t="s">
        <v>257</v>
      </c>
      <c r="C5" s="297" t="s">
        <v>258</v>
      </c>
      <c r="D5" s="296" t="s">
        <v>3</v>
      </c>
    </row>
    <row r="6" spans="1:6" ht="42" x14ac:dyDescent="0.35">
      <c r="A6" s="298">
        <v>1</v>
      </c>
      <c r="B6" s="299" t="s">
        <v>274</v>
      </c>
      <c r="C6" s="300">
        <v>500000</v>
      </c>
      <c r="D6" s="301" t="s">
        <v>259</v>
      </c>
      <c r="E6" s="302" t="s">
        <v>260</v>
      </c>
      <c r="F6" s="293" t="s">
        <v>261</v>
      </c>
    </row>
    <row r="7" spans="1:6" ht="42" x14ac:dyDescent="0.35">
      <c r="A7" s="298">
        <v>2</v>
      </c>
      <c r="B7" s="299" t="s">
        <v>275</v>
      </c>
      <c r="C7" s="300">
        <v>500000</v>
      </c>
      <c r="D7" s="301" t="s">
        <v>262</v>
      </c>
      <c r="E7" s="302" t="s">
        <v>260</v>
      </c>
    </row>
    <row r="8" spans="1:6" s="303" customFormat="1" ht="42" x14ac:dyDescent="0.2">
      <c r="A8" s="298">
        <v>3</v>
      </c>
      <c r="B8" s="299" t="s">
        <v>276</v>
      </c>
      <c r="C8" s="300">
        <v>170000</v>
      </c>
      <c r="D8" s="301" t="s">
        <v>263</v>
      </c>
      <c r="E8" s="302" t="s">
        <v>264</v>
      </c>
    </row>
    <row r="9" spans="1:6" s="303" customFormat="1" ht="42" x14ac:dyDescent="0.2">
      <c r="A9" s="298">
        <v>4</v>
      </c>
      <c r="B9" s="304" t="s">
        <v>277</v>
      </c>
      <c r="C9" s="305">
        <v>300000</v>
      </c>
      <c r="D9" s="301" t="s">
        <v>67</v>
      </c>
      <c r="E9" s="302" t="s">
        <v>265</v>
      </c>
    </row>
    <row r="10" spans="1:6" s="303" customFormat="1" ht="42" x14ac:dyDescent="0.35">
      <c r="A10" s="298">
        <v>5</v>
      </c>
      <c r="B10" s="306" t="s">
        <v>278</v>
      </c>
      <c r="C10" s="305">
        <v>330000</v>
      </c>
      <c r="D10" s="301" t="s">
        <v>266</v>
      </c>
      <c r="E10" s="302" t="s">
        <v>265</v>
      </c>
    </row>
    <row r="11" spans="1:6" s="303" customFormat="1" ht="63" x14ac:dyDescent="0.2">
      <c r="A11" s="307">
        <v>6</v>
      </c>
      <c r="B11" s="304" t="s">
        <v>279</v>
      </c>
      <c r="C11" s="305">
        <v>200000</v>
      </c>
      <c r="D11" s="308" t="s">
        <v>267</v>
      </c>
      <c r="E11" s="302" t="s">
        <v>265</v>
      </c>
    </row>
    <row r="12" spans="1:6" x14ac:dyDescent="0.35">
      <c r="A12" s="309"/>
      <c r="B12" s="310" t="s">
        <v>268</v>
      </c>
      <c r="C12" s="311">
        <f>SUM(C6:C11)</f>
        <v>2000000</v>
      </c>
      <c r="D12" s="312"/>
    </row>
    <row r="13" spans="1:6" x14ac:dyDescent="0.35">
      <c r="A13" s="313" t="s">
        <v>269</v>
      </c>
      <c r="B13" s="314"/>
      <c r="C13" s="314"/>
      <c r="D13" s="315"/>
    </row>
    <row r="14" spans="1:6" ht="42" x14ac:dyDescent="0.35">
      <c r="A14" s="298">
        <v>7</v>
      </c>
      <c r="B14" s="299" t="s">
        <v>280</v>
      </c>
      <c r="C14" s="300">
        <v>497000</v>
      </c>
      <c r="D14" s="301" t="s">
        <v>262</v>
      </c>
      <c r="E14" s="302" t="s">
        <v>270</v>
      </c>
      <c r="F14" s="293" t="s">
        <v>261</v>
      </c>
    </row>
    <row r="15" spans="1:6" ht="66" customHeight="1" x14ac:dyDescent="0.35">
      <c r="A15" s="298">
        <v>8</v>
      </c>
      <c r="B15" s="299" t="s">
        <v>281</v>
      </c>
      <c r="C15" s="300">
        <v>494000</v>
      </c>
      <c r="D15" s="301" t="s">
        <v>262</v>
      </c>
      <c r="E15" s="302" t="s">
        <v>270</v>
      </c>
    </row>
    <row r="16" spans="1:6" s="303" customFormat="1" ht="66.75" customHeight="1" x14ac:dyDescent="0.2">
      <c r="A16" s="298">
        <v>9</v>
      </c>
      <c r="B16" s="299" t="s">
        <v>282</v>
      </c>
      <c r="C16" s="300">
        <v>500000</v>
      </c>
      <c r="D16" s="301" t="s">
        <v>262</v>
      </c>
      <c r="E16" s="302" t="s">
        <v>270</v>
      </c>
    </row>
    <row r="17" spans="1:5" s="303" customFormat="1" ht="63" x14ac:dyDescent="0.2">
      <c r="A17" s="298">
        <v>10</v>
      </c>
      <c r="B17" s="304" t="s">
        <v>271</v>
      </c>
      <c r="C17" s="305">
        <v>488000</v>
      </c>
      <c r="D17" s="301" t="s">
        <v>262</v>
      </c>
      <c r="E17" s="302" t="s">
        <v>270</v>
      </c>
    </row>
    <row r="18" spans="1:5" s="303" customFormat="1" ht="42" x14ac:dyDescent="0.35">
      <c r="A18" s="298">
        <v>11</v>
      </c>
      <c r="B18" s="306" t="s">
        <v>272</v>
      </c>
      <c r="C18" s="305">
        <v>196000</v>
      </c>
      <c r="D18" s="301" t="s">
        <v>262</v>
      </c>
      <c r="E18" s="302" t="s">
        <v>270</v>
      </c>
    </row>
    <row r="19" spans="1:5" s="303" customFormat="1" ht="63" x14ac:dyDescent="0.2">
      <c r="A19" s="307">
        <v>12</v>
      </c>
      <c r="B19" s="304" t="s">
        <v>283</v>
      </c>
      <c r="C19" s="305">
        <v>325000</v>
      </c>
      <c r="D19" s="308" t="s">
        <v>262</v>
      </c>
      <c r="E19" s="302"/>
    </row>
    <row r="20" spans="1:5" x14ac:dyDescent="0.35">
      <c r="A20" s="309"/>
      <c r="B20" s="310" t="s">
        <v>268</v>
      </c>
      <c r="C20" s="311">
        <f>SUM(C14:C19)</f>
        <v>2500000</v>
      </c>
      <c r="D20" s="312"/>
    </row>
    <row r="21" spans="1:5" x14ac:dyDescent="0.35">
      <c r="A21" s="316"/>
      <c r="B21" s="317" t="s">
        <v>273</v>
      </c>
      <c r="C21" s="318">
        <f>C12+C20</f>
        <v>4500000</v>
      </c>
      <c r="D21" s="319"/>
    </row>
  </sheetData>
  <mergeCells count="5">
    <mergeCell ref="A1:D1"/>
    <mergeCell ref="A2:D2"/>
    <mergeCell ref="A3:D3"/>
    <mergeCell ref="A4:D4"/>
    <mergeCell ref="A13:D13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6" zoomScale="90" zoomScaleNormal="90" workbookViewId="0">
      <selection activeCell="G8" sqref="G8"/>
    </sheetView>
  </sheetViews>
  <sheetFormatPr defaultRowHeight="21" x14ac:dyDescent="0.35"/>
  <cols>
    <col min="1" max="1" width="4" style="320" customWidth="1"/>
    <col min="2" max="2" width="40.875" style="320" customWidth="1"/>
    <col min="3" max="3" width="18.5" style="320" customWidth="1"/>
    <col min="4" max="4" width="15.25" style="320" customWidth="1"/>
    <col min="5" max="5" width="13.5" style="320" customWidth="1"/>
    <col min="6" max="16384" width="9" style="320"/>
  </cols>
  <sheetData>
    <row r="1" spans="1:5" s="331" customFormat="1" ht="23.25" customHeight="1" x14ac:dyDescent="0.35">
      <c r="A1" s="356" t="s">
        <v>342</v>
      </c>
      <c r="B1" s="356"/>
      <c r="C1" s="356"/>
      <c r="D1" s="356"/>
      <c r="E1" s="356"/>
    </row>
    <row r="2" spans="1:5" s="331" customFormat="1" x14ac:dyDescent="0.35">
      <c r="A2" s="356" t="s">
        <v>343</v>
      </c>
      <c r="B2" s="356"/>
      <c r="C2" s="356"/>
      <c r="D2" s="356"/>
      <c r="E2" s="356"/>
    </row>
    <row r="3" spans="1:5" s="331" customFormat="1" x14ac:dyDescent="0.35">
      <c r="A3" s="356" t="s">
        <v>284</v>
      </c>
      <c r="B3" s="356"/>
      <c r="C3" s="356"/>
      <c r="D3" s="356"/>
      <c r="E3" s="356"/>
    </row>
    <row r="4" spans="1:5" s="331" customFormat="1" x14ac:dyDescent="0.35">
      <c r="A4" s="355"/>
      <c r="B4" s="355"/>
      <c r="C4" s="355"/>
      <c r="D4" s="355"/>
      <c r="E4" s="338"/>
    </row>
    <row r="5" spans="1:5" x14ac:dyDescent="0.35">
      <c r="A5" s="321" t="s">
        <v>256</v>
      </c>
      <c r="B5" s="321" t="s">
        <v>285</v>
      </c>
      <c r="C5" s="339" t="s">
        <v>299</v>
      </c>
      <c r="D5" s="339" t="s">
        <v>298</v>
      </c>
      <c r="E5" s="336" t="s">
        <v>12</v>
      </c>
    </row>
    <row r="6" spans="1:5" x14ac:dyDescent="0.35">
      <c r="A6" s="322"/>
      <c r="B6" s="322"/>
      <c r="C6" s="340"/>
      <c r="D6" s="340"/>
      <c r="E6" s="336"/>
    </row>
    <row r="7" spans="1:5" x14ac:dyDescent="0.35">
      <c r="A7" s="322"/>
      <c r="B7" s="322"/>
      <c r="C7" s="340"/>
      <c r="D7" s="340"/>
      <c r="E7" s="336"/>
    </row>
    <row r="8" spans="1:5" x14ac:dyDescent="0.35">
      <c r="A8" s="323"/>
      <c r="B8" s="323"/>
      <c r="C8" s="341"/>
      <c r="D8" s="341"/>
      <c r="E8" s="336"/>
    </row>
    <row r="9" spans="1:5" s="293" customFormat="1" ht="42" x14ac:dyDescent="0.35">
      <c r="A9" s="298">
        <v>1</v>
      </c>
      <c r="B9" s="299" t="s">
        <v>300</v>
      </c>
      <c r="C9" s="301" t="s">
        <v>267</v>
      </c>
      <c r="D9" s="300">
        <v>1416000</v>
      </c>
      <c r="E9" s="309"/>
    </row>
    <row r="10" spans="1:5" s="293" customFormat="1" ht="42" x14ac:dyDescent="0.35">
      <c r="A10" s="298">
        <v>2</v>
      </c>
      <c r="B10" s="299" t="s">
        <v>301</v>
      </c>
      <c r="C10" s="301" t="s">
        <v>286</v>
      </c>
      <c r="D10" s="300">
        <v>482500</v>
      </c>
      <c r="E10" s="309"/>
    </row>
    <row r="11" spans="1:5" s="293" customFormat="1" ht="63" x14ac:dyDescent="0.35">
      <c r="A11" s="298">
        <v>3</v>
      </c>
      <c r="B11" s="299" t="s">
        <v>302</v>
      </c>
      <c r="C11" s="301" t="s">
        <v>287</v>
      </c>
      <c r="D11" s="300">
        <v>757000</v>
      </c>
      <c r="E11" s="309"/>
    </row>
    <row r="12" spans="1:5" s="293" customFormat="1" ht="63" x14ac:dyDescent="0.35">
      <c r="A12" s="298">
        <v>4</v>
      </c>
      <c r="B12" s="299" t="s">
        <v>303</v>
      </c>
      <c r="C12" s="301" t="s">
        <v>67</v>
      </c>
      <c r="D12" s="300">
        <v>1500000</v>
      </c>
      <c r="E12" s="309"/>
    </row>
    <row r="13" spans="1:5" s="293" customFormat="1" ht="63" x14ac:dyDescent="0.35">
      <c r="A13" s="298">
        <v>5</v>
      </c>
      <c r="B13" s="299" t="s">
        <v>304</v>
      </c>
      <c r="C13" s="301" t="s">
        <v>288</v>
      </c>
      <c r="D13" s="300">
        <v>460200</v>
      </c>
      <c r="E13" s="309"/>
    </row>
    <row r="14" spans="1:5" s="293" customFormat="1" ht="42" x14ac:dyDescent="0.35">
      <c r="A14" s="298">
        <v>6</v>
      </c>
      <c r="B14" s="299" t="s">
        <v>305</v>
      </c>
      <c r="C14" s="301" t="s">
        <v>262</v>
      </c>
      <c r="D14" s="300">
        <v>1240000</v>
      </c>
      <c r="E14" s="309"/>
    </row>
    <row r="15" spans="1:5" s="293" customFormat="1" ht="42" x14ac:dyDescent="0.35">
      <c r="A15" s="298">
        <v>7</v>
      </c>
      <c r="B15" s="299" t="s">
        <v>306</v>
      </c>
      <c r="C15" s="301" t="s">
        <v>289</v>
      </c>
      <c r="D15" s="300">
        <v>487000</v>
      </c>
      <c r="E15" s="309"/>
    </row>
    <row r="16" spans="1:5" s="293" customFormat="1" ht="42" x14ac:dyDescent="0.35">
      <c r="A16" s="298">
        <v>8</v>
      </c>
      <c r="B16" s="299" t="s">
        <v>307</v>
      </c>
      <c r="C16" s="301" t="s">
        <v>266</v>
      </c>
      <c r="D16" s="300">
        <v>1800000</v>
      </c>
      <c r="E16" s="309"/>
    </row>
    <row r="17" spans="1:5" s="293" customFormat="1" ht="42" x14ac:dyDescent="0.35">
      <c r="A17" s="298">
        <v>9</v>
      </c>
      <c r="B17" s="299" t="s">
        <v>308</v>
      </c>
      <c r="C17" s="301" t="s">
        <v>259</v>
      </c>
      <c r="D17" s="300">
        <v>371400</v>
      </c>
      <c r="E17" s="309"/>
    </row>
    <row r="18" spans="1:5" s="293" customFormat="1" ht="42" x14ac:dyDescent="0.35">
      <c r="A18" s="298">
        <v>10</v>
      </c>
      <c r="B18" s="299" t="s">
        <v>309</v>
      </c>
      <c r="C18" s="301" t="s">
        <v>290</v>
      </c>
      <c r="D18" s="300">
        <v>494000</v>
      </c>
      <c r="E18" s="309"/>
    </row>
    <row r="19" spans="1:5" s="293" customFormat="1" ht="84" x14ac:dyDescent="0.35">
      <c r="A19" s="298">
        <v>11</v>
      </c>
      <c r="B19" s="299" t="s">
        <v>310</v>
      </c>
      <c r="C19" s="301" t="s">
        <v>291</v>
      </c>
      <c r="D19" s="300">
        <v>467800</v>
      </c>
      <c r="E19" s="309"/>
    </row>
    <row r="20" spans="1:5" s="293" customFormat="1" ht="42" x14ac:dyDescent="0.35">
      <c r="A20" s="298">
        <v>12</v>
      </c>
      <c r="B20" s="299" t="s">
        <v>292</v>
      </c>
      <c r="C20" s="301" t="s">
        <v>290</v>
      </c>
      <c r="D20" s="300">
        <v>500000</v>
      </c>
      <c r="E20" s="309"/>
    </row>
    <row r="21" spans="1:5" s="293" customFormat="1" ht="42" x14ac:dyDescent="0.35">
      <c r="A21" s="298">
        <v>13</v>
      </c>
      <c r="B21" s="299" t="s">
        <v>293</v>
      </c>
      <c r="C21" s="301" t="s">
        <v>286</v>
      </c>
      <c r="D21" s="300">
        <v>1380000</v>
      </c>
      <c r="E21" s="309"/>
    </row>
    <row r="22" spans="1:5" s="342" customFormat="1" ht="63" x14ac:dyDescent="0.35">
      <c r="A22" s="298">
        <v>14</v>
      </c>
      <c r="B22" s="299" t="s">
        <v>294</v>
      </c>
      <c r="C22" s="301" t="s">
        <v>289</v>
      </c>
      <c r="D22" s="300">
        <v>486000</v>
      </c>
      <c r="E22" s="312"/>
    </row>
    <row r="23" spans="1:5" s="342" customFormat="1" ht="42" x14ac:dyDescent="0.35">
      <c r="A23" s="298">
        <v>15</v>
      </c>
      <c r="B23" s="299" t="s">
        <v>295</v>
      </c>
      <c r="C23" s="301" t="s">
        <v>259</v>
      </c>
      <c r="D23" s="300">
        <v>485000</v>
      </c>
      <c r="E23" s="312"/>
    </row>
    <row r="24" spans="1:5" s="324" customFormat="1" ht="25.5" customHeight="1" x14ac:dyDescent="0.35">
      <c r="A24" s="307"/>
      <c r="B24" s="325" t="s">
        <v>296</v>
      </c>
      <c r="C24" s="301"/>
      <c r="D24" s="326">
        <f>SUM(D9:D23)</f>
        <v>12326900</v>
      </c>
      <c r="E24" s="337"/>
    </row>
    <row r="25" spans="1:5" s="324" customFormat="1" x14ac:dyDescent="0.35">
      <c r="A25" s="327"/>
      <c r="B25" s="328"/>
      <c r="C25" s="329"/>
      <c r="D25" s="330"/>
    </row>
    <row r="26" spans="1:5" x14ac:dyDescent="0.35">
      <c r="A26" s="331" t="s">
        <v>297</v>
      </c>
      <c r="B26" s="331"/>
      <c r="C26" s="331"/>
      <c r="D26" s="331"/>
    </row>
    <row r="27" spans="1:5" x14ac:dyDescent="0.35">
      <c r="A27" s="332"/>
      <c r="B27" s="332"/>
      <c r="C27" s="332"/>
      <c r="D27" s="332"/>
    </row>
    <row r="28" spans="1:5" x14ac:dyDescent="0.35">
      <c r="A28" s="333"/>
      <c r="B28" s="333"/>
      <c r="C28" s="333"/>
      <c r="D28" s="333"/>
    </row>
    <row r="29" spans="1:5" x14ac:dyDescent="0.35">
      <c r="A29" s="333"/>
      <c r="B29" s="333"/>
      <c r="C29" s="333"/>
      <c r="D29" s="333"/>
    </row>
    <row r="30" spans="1:5" x14ac:dyDescent="0.35">
      <c r="A30" s="334"/>
      <c r="B30" s="334"/>
      <c r="C30" s="334"/>
      <c r="D30" s="334"/>
    </row>
    <row r="31" spans="1:5" x14ac:dyDescent="0.35">
      <c r="A31" s="335"/>
      <c r="B31" s="335"/>
      <c r="C31" s="335"/>
      <c r="D31" s="335"/>
    </row>
  </sheetData>
  <mergeCells count="10">
    <mergeCell ref="E5:E8"/>
    <mergeCell ref="A1:E1"/>
    <mergeCell ref="A2:E2"/>
    <mergeCell ref="D5:D8"/>
    <mergeCell ref="C5:C8"/>
    <mergeCell ref="A3:E3"/>
    <mergeCell ref="A27:D27"/>
    <mergeCell ref="A31:D31"/>
    <mergeCell ref="A5:A8"/>
    <mergeCell ref="B5:B8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งบพัฒนาจังหวัด</vt:lpstr>
      <vt:lpstr>งบกลุ่มจังหวัดภาคเหนือบน 1</vt:lpstr>
      <vt:lpstr>งบแก้ไขปัญหาความเดือนร้อน</vt:lpstr>
      <vt:lpstr>งบรองนายกฯ</vt:lpstr>
      <vt:lpstr>'งบกลุ่มจังหวัดภาคเหนือบน 1'!Print_Titles</vt:lpstr>
      <vt:lpstr>งบแก้ไขปัญหาความเดือนร้อน!Print_Titles</vt:lpstr>
      <vt:lpstr>งบพัฒนาจังหวัด!Print_Titles</vt:lpstr>
      <vt:lpstr>งบรองนายกฯ!Print_Titles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jaaha</dc:creator>
  <cp:lastModifiedBy>jaaha</cp:lastModifiedBy>
  <cp:lastPrinted>2017-07-17T09:52:49Z</cp:lastPrinted>
  <dcterms:created xsi:type="dcterms:W3CDTF">2017-07-11T04:39:57Z</dcterms:created>
  <dcterms:modified xsi:type="dcterms:W3CDTF">2017-07-17T09:53:06Z</dcterms:modified>
</cp:coreProperties>
</file>